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tables/table9.xml" ContentType="application/vnd.openxmlformats-officedocument.spreadsheetml.tabl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tables/table5.xml" ContentType="application/vnd.openxmlformats-officedocument.spreadsheetml.table+xml"/>
  <Override PartName="/xl/charts/chart9.xml" ContentType="application/vnd.openxmlformats-officedocument.drawingml.chart+xml"/>
  <Override PartName="/xl/tables/table6.xml" ContentType="application/vnd.openxmlformats-officedocument.spreadsheetml.tab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tables/table1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693" activeTab="1"/>
  </bookViews>
  <sheets>
    <sheet name="Lumi Protons 2012" sheetId="12" r:id="rId1"/>
    <sheet name="Lumi Protons 2011" sheetId="5" r:id="rId2"/>
    <sheet name="Lumi Ions 2011" sheetId="10" r:id="rId3"/>
    <sheet name="Lumi Ions 2010" sheetId="4" r:id="rId4"/>
    <sheet name="Records" sheetId="7" r:id="rId5"/>
    <sheet name="Fill length p" sheetId="8" r:id="rId6"/>
    <sheet name="Production hour" sheetId="9" r:id="rId7"/>
    <sheet name="Fill length ion" sheetId="11" r:id="rId8"/>
    <sheet name="450 GeV-Scrubbing" sheetId="6" r:id="rId9"/>
    <sheet name="1.38 TeV" sheetId="3" r:id="rId10"/>
    <sheet name="Plan-achieved" sheetId="2" r:id="rId11"/>
    <sheet name="Lumi Protons 2010" sheetId="1" r:id="rId12"/>
  </sheets>
  <definedNames>
    <definedName name="_1pb_1" localSheetId="7">'Fill length ion'!$D$8</definedName>
    <definedName name="_1pb_1" localSheetId="6">'Production hour'!$C$8</definedName>
    <definedName name="_1pb_1">'Fill length p'!$D$14</definedName>
    <definedName name="ALICE_Total_Xing" localSheetId="0">'Lumi Protons 2012'!$O$4</definedName>
    <definedName name="ALICE_Total_Xing">'Lumi Protons 2011'!$O$4</definedName>
    <definedName name="ALICE_Xing" localSheetId="0">'Lumi Protons 2012'!$L$4</definedName>
    <definedName name="ALICE_Xing">'Lumi Protons 2011'!$L$4</definedName>
    <definedName name="ALICETotalXing" localSheetId="0">'Lumi Protons 2012'!$M$8</definedName>
    <definedName name="ALICETotalXing">'Lumi Protons 2011'!$M$8</definedName>
    <definedName name="ALICEXing" localSheetId="0">'Lumi Protons 2012'!$L$8</definedName>
    <definedName name="ALICEXing">'Lumi Protons 2011'!$L$8</definedName>
    <definedName name="ALICEXing_14" localSheetId="8">'450 GeV-Scrubbing'!$L$8</definedName>
    <definedName name="ALICEXing_14">'1.38 TeV'!$L$8</definedName>
    <definedName name="ATLAS_TotalXing" localSheetId="0">'Lumi Protons 2012'!$M$9</definedName>
    <definedName name="ATLAS_TotalXing">'Lumi Protons 2011'!$M$9</definedName>
    <definedName name="Beam_size" localSheetId="0">'Lumi Protons 2012'!$D$10</definedName>
    <definedName name="Beam_size">'Lumi Protons 2011'!$D$10</definedName>
    <definedName name="Beam_size_ALICE" localSheetId="0">'Lumi Protons 2012'!$D$12</definedName>
    <definedName name="Beam_size_ALICE">'Lumi Protons 2011'!$D$12</definedName>
    <definedName name="Beam_size_LHCb" localSheetId="0">'Lumi Protons 2012'!$D$11</definedName>
    <definedName name="Beam_size_LHCb">'Lumi Protons 2011'!$D$11</definedName>
    <definedName name="betaStar_ref" localSheetId="0">'Lumi Protons 2012'!$D$5</definedName>
    <definedName name="betaStar_ref">'Lumi Protons 2011'!$D$5</definedName>
    <definedName name="BetaStar_ref_14" localSheetId="8">'450 GeV-Scrubbing'!$D$5</definedName>
    <definedName name="BetaStar_ref_14">'1.38 TeV'!$D$5</definedName>
    <definedName name="Bunch_Length" localSheetId="0">'Lumi Protons 2012'!$D$9</definedName>
    <definedName name="Bunch_Length">'Lumi Protons 2011'!$D$9</definedName>
    <definedName name="EmitP" localSheetId="2">'Lumi Ions 2011'!$D$8</definedName>
    <definedName name="EmitP">'Lumi Ions 2010'!$D$8</definedName>
    <definedName name="Emittance_ref" localSheetId="0">'Lumi Protons 2012'!$D$6</definedName>
    <definedName name="Emittance_ref">'Lumi Protons 2011'!$D$6</definedName>
    <definedName name="Energy" localSheetId="3">'Lumi Ions 2010'!$D$3</definedName>
    <definedName name="Energy" localSheetId="2">'Lumi Ions 2011'!$D$3</definedName>
    <definedName name="Energy" localSheetId="1">'Lumi Protons 2011'!$D$3</definedName>
    <definedName name="Energy" localSheetId="0">'Lumi Protons 2012'!$D$3</definedName>
    <definedName name="Energy">'Lumi Protons 2010'!$E$3</definedName>
    <definedName name="Energy_14" localSheetId="8">'450 GeV-Scrubbing'!$D$3</definedName>
    <definedName name="Energy_14">'1.38 TeV'!$D$3</definedName>
    <definedName name="Energy_450">'450 GeV-Scrubbing'!$D$3</definedName>
    <definedName name="GammaIon" localSheetId="2">'Lumi Ions 2011'!$D$5</definedName>
    <definedName name="GammaIon">'Lumi Ions 2010'!$D$5</definedName>
    <definedName name="GammaP" localSheetId="2">'Lumi Ions 2011'!$D$4</definedName>
    <definedName name="GammaP">'Lumi Ions 2010'!$D$4</definedName>
    <definedName name="L_factor" localSheetId="3">'Lumi Ions 2010'!$D$10</definedName>
    <definedName name="L_factor" localSheetId="2">'Lumi Ions 2011'!$D$10</definedName>
    <definedName name="L_factor" localSheetId="1">'Lumi Protons 2011'!$D$7</definedName>
    <definedName name="L_factor" localSheetId="0">'Lumi Protons 2012'!$D$7</definedName>
    <definedName name="L_factor">'Lumi Protons 2010'!$E$7</definedName>
    <definedName name="Lfactor_14" localSheetId="8">'450 GeV-Scrubbing'!$D$7</definedName>
    <definedName name="Lfactor_14">'1.38 TeV'!$D$7</definedName>
    <definedName name="LHCb_Total_Xing" localSheetId="0">'Lumi Protons 2012'!$O$3</definedName>
    <definedName name="LHCb_Total_Xing">'Lumi Protons 2011'!$O$3</definedName>
    <definedName name="LHCb_Xing" localSheetId="0">'Lumi Protons 2012'!$L$3</definedName>
    <definedName name="LHCb_Xing">'Lumi Protons 2011'!$L$3</definedName>
    <definedName name="LHCbTotalXing" localSheetId="0">'Lumi Protons 2012'!$M$7</definedName>
    <definedName name="LHCbTotalXing">'Lumi Protons 2011'!$M$7</definedName>
    <definedName name="LHCbXing" localSheetId="0">'Lumi Protons 2012'!$L$7</definedName>
    <definedName name="LHCbXing">'Lumi Protons 2011'!$L$7</definedName>
    <definedName name="LHCbXing_14" localSheetId="8">'450 GeV-Scrubbing'!$L$7</definedName>
    <definedName name="LHCbXing_14">'1.38 TeV'!$L$7</definedName>
    <definedName name="Lumi_lifetime" localSheetId="7">'Fill length ion'!$D$6</definedName>
    <definedName name="Lumi_lifetime" localSheetId="6">'Production hour'!$C$6</definedName>
    <definedName name="Lumi_lifetime">'Fill length p'!$D$12</definedName>
    <definedName name="Mion" localSheetId="2">'Lumi Ions 2011'!$D$7</definedName>
    <definedName name="Mion">'Lumi Ions 2010'!$D$7</definedName>
    <definedName name="Peak_luminosity" localSheetId="7">'Fill length ion'!$D$7</definedName>
    <definedName name="Peak_luminosity" localSheetId="6">'Production hour'!$C$7</definedName>
    <definedName name="Peak_luminosity">'Fill length p'!$D$13</definedName>
    <definedName name="rp" localSheetId="0">'Lumi Protons 2012'!$D$13</definedName>
    <definedName name="rp">'Lumi Protons 2011'!$D$13</definedName>
    <definedName name="Test" localSheetId="3">'Lumi Ions 2010'!$D$10</definedName>
    <definedName name="Test" localSheetId="2">'Lumi Ions 2011'!$D$10</definedName>
    <definedName name="Test" localSheetId="1">'Lumi Protons 2011'!$D$7</definedName>
    <definedName name="Test" localSheetId="0">'Lumi Protons 2012'!$D$7</definedName>
    <definedName name="Test">'Lumi Protons 2010'!$E$7</definedName>
    <definedName name="Turn_around_time" localSheetId="7">'Fill length ion'!$D$4</definedName>
    <definedName name="Turn_around_time" localSheetId="6">'Production hour'!$C$4</definedName>
    <definedName name="Turn_around_time">'Fill length p'!$D$10</definedName>
    <definedName name="Xing_fac" localSheetId="8">'Lumi Protons 2010'!#REF!</definedName>
    <definedName name="Xing_fac" localSheetId="7">'Lumi Protons 2010'!#REF!</definedName>
    <definedName name="Xing_fac" localSheetId="3">'Lumi Ions 2010'!#REF!</definedName>
    <definedName name="Xing_fac" localSheetId="2">'Lumi Ions 2011'!#REF!</definedName>
    <definedName name="Xing_fac" localSheetId="1">'Lumi Protons 2011'!#REF!</definedName>
    <definedName name="Xing_fac" localSheetId="0">'Lumi Protons 2012'!#REF!</definedName>
    <definedName name="Xing_fac" localSheetId="6">'Lumi Protons 2010'!#REF!</definedName>
    <definedName name="Xing_fac">'Lumi Protons 2010'!#REF!</definedName>
    <definedName name="Zion" localSheetId="2">'Lumi Ions 2011'!$D$6</definedName>
    <definedName name="Zion">'Lumi Ions 2010'!$D$6</definedName>
  </definedNames>
  <calcPr calcId="125725"/>
</workbook>
</file>

<file path=xl/calcChain.xml><?xml version="1.0" encoding="utf-8"?>
<calcChain xmlns="http://schemas.openxmlformats.org/spreadsheetml/2006/main">
  <c r="O18" i="5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L28" i="12"/>
  <c r="M28"/>
  <c r="N28"/>
  <c r="O28"/>
  <c r="M26"/>
  <c r="N26"/>
  <c r="O26"/>
  <c r="M24"/>
  <c r="N24"/>
  <c r="O24"/>
  <c r="M27"/>
  <c r="N27"/>
  <c r="O27"/>
  <c r="M25"/>
  <c r="N25"/>
  <c r="O25"/>
  <c r="M22"/>
  <c r="N22"/>
  <c r="O22"/>
  <c r="M20"/>
  <c r="N20"/>
  <c r="O20"/>
  <c r="M23"/>
  <c r="N23"/>
  <c r="O23"/>
  <c r="M21"/>
  <c r="N21"/>
  <c r="O21"/>
  <c r="D12"/>
  <c r="O18"/>
  <c r="O19"/>
  <c r="M19"/>
  <c r="M18"/>
  <c r="D13"/>
  <c r="D9"/>
  <c r="L8"/>
  <c r="M8" s="1"/>
  <c r="L7"/>
  <c r="M7" s="1"/>
  <c r="D4"/>
  <c r="D11" s="1"/>
  <c r="F19" i="10"/>
  <c r="K19"/>
  <c r="F18"/>
  <c r="K18"/>
  <c r="F17"/>
  <c r="K17"/>
  <c r="F16"/>
  <c r="K16"/>
  <c r="M53" i="5"/>
  <c r="N53"/>
  <c r="N27" i="6"/>
  <c r="N19"/>
  <c r="N20"/>
  <c r="N21"/>
  <c r="N22"/>
  <c r="N23"/>
  <c r="N24"/>
  <c r="N25"/>
  <c r="N26"/>
  <c r="M52" i="5"/>
  <c r="N52"/>
  <c r="M51"/>
  <c r="N51"/>
  <c r="AD22"/>
  <c r="AC22"/>
  <c r="AD21"/>
  <c r="AC21"/>
  <c r="AD20"/>
  <c r="AC20"/>
  <c r="M50"/>
  <c r="N50"/>
  <c r="D8" i="11"/>
  <c r="E37" s="1"/>
  <c r="F37" s="1"/>
  <c r="D41"/>
  <c r="D40"/>
  <c r="D39"/>
  <c r="D38"/>
  <c r="D37"/>
  <c r="D36"/>
  <c r="D35"/>
  <c r="D34"/>
  <c r="D33"/>
  <c r="D32"/>
  <c r="E31"/>
  <c r="F31" s="1"/>
  <c r="D31"/>
  <c r="D30"/>
  <c r="D29"/>
  <c r="D28"/>
  <c r="D27"/>
  <c r="D26"/>
  <c r="D25"/>
  <c r="D24"/>
  <c r="E23"/>
  <c r="F23" s="1"/>
  <c r="D23"/>
  <c r="D22"/>
  <c r="D21"/>
  <c r="D20"/>
  <c r="D19"/>
  <c r="D18"/>
  <c r="D17"/>
  <c r="D16"/>
  <c r="E15"/>
  <c r="F15" s="1"/>
  <c r="D15"/>
  <c r="D14"/>
  <c r="D13"/>
  <c r="D12"/>
  <c r="M7"/>
  <c r="I7"/>
  <c r="M49" i="5"/>
  <c r="N49"/>
  <c r="K14" i="10"/>
  <c r="Q5"/>
  <c r="Q7" s="1"/>
  <c r="Q4"/>
  <c r="K15"/>
  <c r="F15"/>
  <c r="F14"/>
  <c r="D10"/>
  <c r="D5"/>
  <c r="D9" s="1"/>
  <c r="D4"/>
  <c r="D5" i="8"/>
  <c r="D7" s="1"/>
  <c r="M48" i="5"/>
  <c r="N48"/>
  <c r="M47"/>
  <c r="N47"/>
  <c r="C8" i="9"/>
  <c r="C22" s="1"/>
  <c r="AC19" i="5"/>
  <c r="AD19"/>
  <c r="AC18"/>
  <c r="AC17"/>
  <c r="AD17"/>
  <c r="AC16"/>
  <c r="M46"/>
  <c r="M45"/>
  <c r="M44"/>
  <c r="M43"/>
  <c r="N18"/>
  <c r="N24"/>
  <c r="N26"/>
  <c r="N32"/>
  <c r="N34"/>
  <c r="N40"/>
  <c r="N42"/>
  <c r="D13"/>
  <c r="N20" s="1"/>
  <c r="N18" i="12" l="1"/>
  <c r="N19"/>
  <c r="J14" i="10"/>
  <c r="N7" i="12"/>
  <c r="D10"/>
  <c r="N9" s="1"/>
  <c r="D7"/>
  <c r="L26" s="1"/>
  <c r="N8"/>
  <c r="J19" i="10"/>
  <c r="J18"/>
  <c r="J17"/>
  <c r="J16"/>
  <c r="J15"/>
  <c r="Q9"/>
  <c r="Q8"/>
  <c r="E17" i="11"/>
  <c r="F17" s="1"/>
  <c r="E35"/>
  <c r="F35" s="1"/>
  <c r="E39"/>
  <c r="F39" s="1"/>
  <c r="E25"/>
  <c r="F25" s="1"/>
  <c r="E33"/>
  <c r="F33" s="1"/>
  <c r="E41"/>
  <c r="F41" s="1"/>
  <c r="E38"/>
  <c r="F38" s="1"/>
  <c r="E19"/>
  <c r="F19" s="1"/>
  <c r="E27"/>
  <c r="F27" s="1"/>
  <c r="E13"/>
  <c r="F13" s="1"/>
  <c r="E21"/>
  <c r="F21" s="1"/>
  <c r="E29"/>
  <c r="F29" s="1"/>
  <c r="E12"/>
  <c r="F12" s="1"/>
  <c r="E16"/>
  <c r="F16" s="1"/>
  <c r="E20"/>
  <c r="F20" s="1"/>
  <c r="E24"/>
  <c r="F24" s="1"/>
  <c r="E28"/>
  <c r="F28" s="1"/>
  <c r="E32"/>
  <c r="F32" s="1"/>
  <c r="E36"/>
  <c r="F36" s="1"/>
  <c r="E40"/>
  <c r="F40" s="1"/>
  <c r="E14"/>
  <c r="F14" s="1"/>
  <c r="E18"/>
  <c r="F18" s="1"/>
  <c r="E22"/>
  <c r="F22" s="1"/>
  <c r="E26"/>
  <c r="F26" s="1"/>
  <c r="E30"/>
  <c r="F30" s="1"/>
  <c r="E34"/>
  <c r="F34" s="1"/>
  <c r="C13" i="9"/>
  <c r="C17"/>
  <c r="C21"/>
  <c r="C25"/>
  <c r="C12"/>
  <c r="C16"/>
  <c r="C20"/>
  <c r="C24"/>
  <c r="C15"/>
  <c r="C19"/>
  <c r="C23"/>
  <c r="C14"/>
  <c r="C18"/>
  <c r="N38" i="5"/>
  <c r="N30"/>
  <c r="N22"/>
  <c r="N36"/>
  <c r="N28"/>
  <c r="N41"/>
  <c r="N37"/>
  <c r="N33"/>
  <c r="N29"/>
  <c r="N25"/>
  <c r="N21"/>
  <c r="N44"/>
  <c r="N46"/>
  <c r="N39"/>
  <c r="N35"/>
  <c r="N31"/>
  <c r="N27"/>
  <c r="N23"/>
  <c r="N19"/>
  <c r="N43"/>
  <c r="N45"/>
  <c r="AD16"/>
  <c r="AD18"/>
  <c r="M42"/>
  <c r="M41"/>
  <c r="M40"/>
  <c r="M39"/>
  <c r="M38"/>
  <c r="M37"/>
  <c r="M11" i="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18" i="5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L22" i="12" l="1"/>
  <c r="L24"/>
  <c r="L27"/>
  <c r="L25"/>
  <c r="L23"/>
  <c r="L20"/>
  <c r="L21"/>
  <c r="L18"/>
  <c r="L19"/>
  <c r="M13" i="8"/>
  <c r="I13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D14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9" i="6"/>
  <c r="L8"/>
  <c r="L7"/>
  <c r="D4"/>
  <c r="D10" s="1"/>
  <c r="N20" i="3"/>
  <c r="D7"/>
  <c r="M20" s="1"/>
  <c r="N19"/>
  <c r="L8"/>
  <c r="L7"/>
  <c r="M7" s="1"/>
  <c r="D11"/>
  <c r="D9"/>
  <c r="D4"/>
  <c r="D10" s="1"/>
  <c r="L8" i="5"/>
  <c r="M8" s="1"/>
  <c r="L7"/>
  <c r="M7" s="1"/>
  <c r="D9"/>
  <c r="M19" i="3" l="1"/>
  <c r="M8" i="6"/>
  <c r="M8" i="3"/>
  <c r="D12" i="6"/>
  <c r="D11"/>
  <c r="M7"/>
  <c r="D7"/>
  <c r="D12" i="3"/>
  <c r="D4" i="5"/>
  <c r="E21" i="2"/>
  <c r="E20"/>
  <c r="E19"/>
  <c r="E18"/>
  <c r="E17"/>
  <c r="E16"/>
  <c r="E15"/>
  <c r="E14"/>
  <c r="E13"/>
  <c r="E12"/>
  <c r="E11"/>
  <c r="E10"/>
  <c r="E9"/>
  <c r="E8"/>
  <c r="E7"/>
  <c r="E6"/>
  <c r="E5"/>
  <c r="F22" i="4"/>
  <c r="K22"/>
  <c r="F21"/>
  <c r="K21"/>
  <c r="F20"/>
  <c r="K20"/>
  <c r="F19"/>
  <c r="K19"/>
  <c r="F18"/>
  <c r="K18"/>
  <c r="F17"/>
  <c r="K17"/>
  <c r="F16"/>
  <c r="K16"/>
  <c r="F15"/>
  <c r="K15"/>
  <c r="F14"/>
  <c r="K14"/>
  <c r="D4"/>
  <c r="D10" s="1"/>
  <c r="M26" i="6" l="1"/>
  <c r="M27"/>
  <c r="M25"/>
  <c r="M24"/>
  <c r="M23"/>
  <c r="M22"/>
  <c r="M21"/>
  <c r="D10" i="5"/>
  <c r="N9" s="1"/>
  <c r="D7"/>
  <c r="D11"/>
  <c r="D12"/>
  <c r="N8" s="1"/>
  <c r="M19" i="6"/>
  <c r="M20"/>
  <c r="J22" i="4"/>
  <c r="J16"/>
  <c r="J21"/>
  <c r="J17"/>
  <c r="J18"/>
  <c r="J19"/>
  <c r="J20"/>
  <c r="J15"/>
  <c r="J14"/>
  <c r="D5"/>
  <c r="D9" s="1"/>
  <c r="C11" i="1"/>
  <c r="C27"/>
  <c r="C26"/>
  <c r="C25"/>
  <c r="C24"/>
  <c r="C23"/>
  <c r="C22"/>
  <c r="C21"/>
  <c r="C20"/>
  <c r="C19"/>
  <c r="C18"/>
  <c r="C17"/>
  <c r="C16"/>
  <c r="C15"/>
  <c r="C14"/>
  <c r="C13"/>
  <c r="C12"/>
  <c r="E4"/>
  <c r="E7" s="1"/>
  <c r="L49" i="5" l="1"/>
  <c r="L53"/>
  <c r="L51"/>
  <c r="AB21"/>
  <c r="L50"/>
  <c r="L52"/>
  <c r="AB22"/>
  <c r="AB20"/>
  <c r="AB19"/>
  <c r="L48"/>
  <c r="L47"/>
  <c r="AB17"/>
  <c r="L46"/>
  <c r="AB18"/>
  <c r="AB16"/>
  <c r="L45"/>
  <c r="L44"/>
  <c r="L43"/>
  <c r="L41"/>
  <c r="L37"/>
  <c r="L42"/>
  <c r="L40"/>
  <c r="L38"/>
  <c r="L39"/>
  <c r="L35"/>
  <c r="L29"/>
  <c r="L33"/>
  <c r="L31"/>
  <c r="L36"/>
  <c r="L34"/>
  <c r="L32"/>
  <c r="L28"/>
  <c r="L30"/>
  <c r="L27"/>
  <c r="L21"/>
  <c r="L26"/>
  <c r="L24"/>
  <c r="L19"/>
  <c r="L25"/>
  <c r="L23"/>
  <c r="L22"/>
  <c r="L18"/>
  <c r="L20"/>
  <c r="N7" i="3"/>
  <c r="N7" i="5"/>
  <c r="N7" i="6"/>
  <c r="N8"/>
  <c r="N8" i="3"/>
  <c r="L27" i="1"/>
  <c r="L44"/>
  <c r="L43"/>
  <c r="L40"/>
  <c r="L42"/>
  <c r="L39"/>
  <c r="L41"/>
  <c r="L38"/>
  <c r="L34"/>
  <c r="L35"/>
  <c r="L37"/>
  <c r="L36"/>
  <c r="L28"/>
  <c r="L29"/>
  <c r="L30"/>
  <c r="L31"/>
  <c r="L32"/>
  <c r="L33"/>
  <c r="L22"/>
  <c r="L21"/>
  <c r="L20"/>
  <c r="L19"/>
  <c r="L18"/>
  <c r="L17"/>
  <c r="L16"/>
  <c r="L15"/>
  <c r="L14"/>
  <c r="L13"/>
  <c r="L12"/>
  <c r="L11"/>
  <c r="L23"/>
  <c r="L24"/>
  <c r="L25"/>
  <c r="L26"/>
</calcChain>
</file>

<file path=xl/sharedStrings.xml><?xml version="1.0" encoding="utf-8"?>
<sst xmlns="http://schemas.openxmlformats.org/spreadsheetml/2006/main" count="498" uniqueCount="175">
  <si>
    <t>Date</t>
  </si>
  <si>
    <t>Nb</t>
  </si>
  <si>
    <t>Ib</t>
  </si>
  <si>
    <t>Nc</t>
  </si>
  <si>
    <t>beta*</t>
  </si>
  <si>
    <t>Energy</t>
  </si>
  <si>
    <t>GeV</t>
  </si>
  <si>
    <t>Gamma</t>
  </si>
  <si>
    <t>m</t>
  </si>
  <si>
    <t>Emittance</t>
  </si>
  <si>
    <t>um</t>
  </si>
  <si>
    <t>L factor</t>
  </si>
  <si>
    <t>L theoretical</t>
  </si>
  <si>
    <t>Schema</t>
  </si>
  <si>
    <t>3x3</t>
  </si>
  <si>
    <t>2x2</t>
  </si>
  <si>
    <t>4x4</t>
  </si>
  <si>
    <t>6x6</t>
  </si>
  <si>
    <t>Stored E (kJ)</t>
  </si>
  <si>
    <t>13x13</t>
  </si>
  <si>
    <t>L measured</t>
  </si>
  <si>
    <t>9x9</t>
  </si>
  <si>
    <t>12x12</t>
  </si>
  <si>
    <t>Xing angle</t>
  </si>
  <si>
    <t>Xing factor</t>
  </si>
  <si>
    <t>25x25</t>
  </si>
  <si>
    <t>Day</t>
  </si>
  <si>
    <t>48x48</t>
  </si>
  <si>
    <t>50x50</t>
  </si>
  <si>
    <t>47x47</t>
  </si>
  <si>
    <t>24x24</t>
  </si>
  <si>
    <t>56x56</t>
  </si>
  <si>
    <t>Comment</t>
  </si>
  <si>
    <t xml:space="preserve">Very low emittance 2.5 </t>
  </si>
  <si>
    <t>104x104</t>
  </si>
  <si>
    <t>152x152</t>
  </si>
  <si>
    <t>200x200</t>
  </si>
  <si>
    <t>248x248</t>
  </si>
  <si>
    <t>b* ref</t>
  </si>
  <si>
    <t>312x312</t>
  </si>
  <si>
    <t>368x368</t>
  </si>
  <si>
    <t>150 ns period</t>
  </si>
  <si>
    <t>Z</t>
  </si>
  <si>
    <t>N ions</t>
  </si>
  <si>
    <t>Gamma proton</t>
  </si>
  <si>
    <t>Gamma ion</t>
  </si>
  <si>
    <t>M  ion</t>
  </si>
  <si>
    <t>Emittance proton</t>
  </si>
  <si>
    <t>Emittance ion</t>
  </si>
  <si>
    <t>5x5</t>
  </si>
  <si>
    <t>01.11.2010</t>
  </si>
  <si>
    <t>17x17</t>
  </si>
  <si>
    <t>69x69</t>
  </si>
  <si>
    <t>121x121</t>
  </si>
  <si>
    <t>FBCT intensity jumps : intensity too low by 20% or so? Increased values by 20% for 15/16-11</t>
  </si>
  <si>
    <t>Orignal plan : LMC 17th Feb 2010</t>
  </si>
  <si>
    <t>L theor</t>
  </si>
  <si>
    <t>32x32</t>
  </si>
  <si>
    <t>64x64</t>
  </si>
  <si>
    <t>Bunch length</t>
  </si>
  <si>
    <t>ns</t>
  </si>
  <si>
    <t>Beam size</t>
  </si>
  <si>
    <t>Beam size LHCb</t>
  </si>
  <si>
    <t>Beam size ALICE</t>
  </si>
  <si>
    <t>Exp</t>
  </si>
  <si>
    <t>Ext Xing</t>
  </si>
  <si>
    <t>Total Xing</t>
  </si>
  <si>
    <t>LHCb</t>
  </si>
  <si>
    <t>ALICE</t>
  </si>
  <si>
    <t>Geometric reduction</t>
  </si>
  <si>
    <t>136x136</t>
  </si>
  <si>
    <t>80x80</t>
  </si>
  <si>
    <t>ATLAS</t>
  </si>
  <si>
    <t>804x804</t>
  </si>
  <si>
    <t>588x588</t>
  </si>
  <si>
    <t>1020x1020</t>
  </si>
  <si>
    <t>228x228</t>
  </si>
  <si>
    <t>336x336</t>
  </si>
  <si>
    <t>Item</t>
  </si>
  <si>
    <t>Value</t>
  </si>
  <si>
    <t>Units</t>
  </si>
  <si>
    <t>Peak L</t>
  </si>
  <si>
    <t>cm-2s-1</t>
  </si>
  <si>
    <t>Peak Stored Energy 3.5 TeV</t>
  </si>
  <si>
    <t>MJ</t>
  </si>
  <si>
    <t>Peak total intensity at 0.45 TeV</t>
  </si>
  <si>
    <t>protons</t>
  </si>
  <si>
    <t>Largest number of bunches in collision at 3.5 TeV</t>
  </si>
  <si>
    <t>Lowest beta*</t>
  </si>
  <si>
    <t>Peak total intensity in collision at 3.5 TeV</t>
  </si>
  <si>
    <t>Proton records</t>
  </si>
  <si>
    <t>Highest integrated luminosity in a fill</t>
  </si>
  <si>
    <t>pb-1</t>
  </si>
  <si>
    <t>hours</t>
  </si>
  <si>
    <t>year 2011</t>
  </si>
  <si>
    <t>Longest fill (stable colliding beams)</t>
  </si>
  <si>
    <t>Fill</t>
  </si>
  <si>
    <t>Lead ion records</t>
  </si>
  <si>
    <t>480x480</t>
  </si>
  <si>
    <t>ions</t>
  </si>
  <si>
    <t>Highest number of bunches at 0.45 TeV</t>
  </si>
  <si>
    <t>Highest number of bunches in collision at 3.5 TeV</t>
  </si>
  <si>
    <t xml:space="preserve">Turn-around time </t>
  </si>
  <si>
    <t>Lumi lifetime</t>
  </si>
  <si>
    <t>Fill length</t>
  </si>
  <si>
    <t>Lumi/hour (A.U)</t>
  </si>
  <si>
    <t>Maximum peak events per crossing</t>
  </si>
  <si>
    <t>Peak luminosity</t>
  </si>
  <si>
    <t>1pb-1</t>
  </si>
  <si>
    <t>Lumi/hour (pb-1/h)</t>
  </si>
  <si>
    <t>L0</t>
  </si>
  <si>
    <t>L1</t>
  </si>
  <si>
    <t>Delta T1-T0</t>
  </si>
  <si>
    <t>h</t>
  </si>
  <si>
    <t>cm-2</t>
  </si>
  <si>
    <t>624x624</t>
  </si>
  <si>
    <t>Highest integrated luminosity in a fill (CMS/ATLAS)</t>
  </si>
  <si>
    <t>768x768</t>
  </si>
  <si>
    <t>1308x1308</t>
  </si>
  <si>
    <t>Nb/inj</t>
  </si>
  <si>
    <t>912x912</t>
  </si>
  <si>
    <t>ATLAS, CMS and ALICE with 0 external Xing angle</t>
  </si>
  <si>
    <t>I0</t>
  </si>
  <si>
    <t>I1</t>
  </si>
  <si>
    <t>Int lifetime</t>
  </si>
  <si>
    <t>1092x1092</t>
  </si>
  <si>
    <t>Lumi/24 h (pb-1)</t>
  </si>
  <si>
    <t>Peak Stored Energy in collisions at 3.5 TeV</t>
  </si>
  <si>
    <t>Peak Stored Energy at 0.45 TeV</t>
  </si>
  <si>
    <t>1236x1236</t>
  </si>
  <si>
    <t>1380x1380</t>
  </si>
  <si>
    <t>rp (m)</t>
  </si>
  <si>
    <t>ksi/IP</t>
  </si>
  <si>
    <t>1380x1389</t>
  </si>
  <si>
    <t>264x264</t>
  </si>
  <si>
    <t>Beta* 1 m</t>
  </si>
  <si>
    <t>Luminosity (1033 cm-2s-1)</t>
  </si>
  <si>
    <t>X-section</t>
  </si>
  <si>
    <t>mb</t>
  </si>
  <si>
    <t>Luminosity</t>
  </si>
  <si>
    <t>Ips</t>
  </si>
  <si>
    <t>dN/dt</t>
  </si>
  <si>
    <t>p/s</t>
  </si>
  <si>
    <t>N</t>
  </si>
  <si>
    <t>p</t>
  </si>
  <si>
    <t>Lifetime</t>
  </si>
  <si>
    <t>Estimates</t>
  </si>
  <si>
    <t>SPS injection</t>
  </si>
  <si>
    <t>bunches at 200 ns</t>
  </si>
  <si>
    <t>SPS batch</t>
  </si>
  <si>
    <t>microsec</t>
  </si>
  <si>
    <t>Injections / ring</t>
  </si>
  <si>
    <t>Bunch pop</t>
  </si>
  <si>
    <t>charges</t>
  </si>
  <si>
    <t>No bunches</t>
  </si>
  <si>
    <t>Stored energy</t>
  </si>
  <si>
    <t>kJ</t>
  </si>
  <si>
    <t>Maximum average events per crossing</t>
  </si>
  <si>
    <t>1ub-1</t>
  </si>
  <si>
    <t>Highest integrated luminosity in a week</t>
  </si>
  <si>
    <t>1x1</t>
  </si>
  <si>
    <t>60x60 (25 ns)</t>
  </si>
  <si>
    <t>1x1 (pile-up)</t>
  </si>
  <si>
    <t>Peak Lumi</t>
  </si>
  <si>
    <t>Peak Lumi (average CMS/ATLAS)</t>
  </si>
  <si>
    <t>week 10/10/2011</t>
  </si>
  <si>
    <t>170x170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</si>
  <si>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b-1</t>
    </r>
  </si>
  <si>
    <t>358x358</t>
  </si>
  <si>
    <t>50 ns beam</t>
  </si>
  <si>
    <t>200 ns beam</t>
  </si>
  <si>
    <t>mu</t>
  </si>
  <si>
    <t>84x84</t>
  </si>
  <si>
    <t>Stored E (MJ)</t>
  </si>
  <si>
    <t>840x840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</si>
</sst>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;[Red]0"/>
    <numFmt numFmtId="166" formatCode="[$-409]dd\-mmm\-yy;@"/>
    <numFmt numFmtId="167" formatCode="0.000"/>
    <numFmt numFmtId="168" formatCode="0.000E+00"/>
    <numFmt numFmtId="169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1" fontId="2" fillId="0" borderId="0" xfId="0" applyNumberFormat="1" applyFont="1"/>
    <xf numFmtId="2" fontId="2" fillId="0" borderId="0" xfId="0" applyNumberFormat="1" applyFont="1"/>
    <xf numFmtId="0" fontId="0" fillId="0" borderId="0" xfId="0" applyBorder="1"/>
    <xf numFmtId="11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/>
    <xf numFmtId="166" fontId="0" fillId="0" borderId="0" xfId="0" applyNumberFormat="1"/>
    <xf numFmtId="2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1" fontId="3" fillId="0" borderId="0" xfId="0" applyNumberFormat="1" applyFont="1"/>
    <xf numFmtId="167" fontId="0" fillId="0" borderId="0" xfId="0" applyNumberFormat="1"/>
    <xf numFmtId="0" fontId="1" fillId="2" borderId="0" xfId="0" applyFont="1" applyFill="1"/>
    <xf numFmtId="2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11" fontId="6" fillId="0" borderId="0" xfId="0" applyNumberFormat="1" applyFont="1"/>
    <xf numFmtId="2" fontId="0" fillId="0" borderId="0" xfId="0" applyNumberFormat="1"/>
    <xf numFmtId="167" fontId="0" fillId="0" borderId="0" xfId="0" applyNumberFormat="1" applyBorder="1"/>
    <xf numFmtId="168" fontId="3" fillId="0" borderId="0" xfId="0" applyNumberFormat="1" applyFont="1"/>
    <xf numFmtId="169" fontId="0" fillId="0" borderId="0" xfId="0" applyNumberFormat="1"/>
    <xf numFmtId="169" fontId="0" fillId="0" borderId="0" xfId="0" applyNumberForma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/>
    <xf numFmtId="14" fontId="0" fillId="0" borderId="0" xfId="0" applyNumberFormat="1" applyAlignment="1">
      <alignment horizontal="right"/>
    </xf>
    <xf numFmtId="167" fontId="3" fillId="0" borderId="0" xfId="0" applyNumberFormat="1" applyFont="1"/>
    <xf numFmtId="2" fontId="0" fillId="0" borderId="0" xfId="0" applyNumberFormat="1" applyBorder="1"/>
  </cellXfs>
  <cellStyles count="1">
    <cellStyle name="Normal" xfId="0" builtinId="0"/>
  </cellStyles>
  <dxfs count="53">
    <dxf>
      <numFmt numFmtId="2" formatCode="0.00"/>
    </dxf>
    <dxf>
      <numFmt numFmtId="167" formatCode="0.000"/>
    </dxf>
    <dxf>
      <numFmt numFmtId="15" formatCode="0.00E+00"/>
    </dxf>
    <dxf>
      <numFmt numFmtId="15" formatCode="0.00E+00"/>
    </dxf>
    <dxf>
      <numFmt numFmtId="15" formatCode="0.00E+00"/>
    </dxf>
    <dxf>
      <numFmt numFmtId="165" formatCode="0;[Red]0"/>
    </dxf>
    <dxf>
      <numFmt numFmtId="166" formatCode="[$-409]dd\-mmm\-yy;@"/>
    </dxf>
    <dxf>
      <numFmt numFmtId="164" formatCode="0.0"/>
    </dxf>
    <dxf>
      <numFmt numFmtId="15" formatCode="0.00E+00"/>
    </dxf>
    <dxf>
      <numFmt numFmtId="166" formatCode="[$-409]dd\-mmm\-yy;@"/>
    </dxf>
    <dxf>
      <numFmt numFmtId="164" formatCode="0.0"/>
    </dxf>
    <dxf>
      <numFmt numFmtId="15" formatCode="0.00E+00"/>
    </dxf>
    <dxf>
      <numFmt numFmtId="15" formatCode="0.00E+00"/>
    </dxf>
    <dxf>
      <numFmt numFmtId="15" formatCode="0.00E+00"/>
    </dxf>
    <dxf>
      <numFmt numFmtId="166" formatCode="[$-409]dd\-mmm\-yy;@"/>
    </dxf>
    <dxf>
      <numFmt numFmtId="164" formatCode="0.0"/>
    </dxf>
    <dxf>
      <numFmt numFmtId="15" formatCode="0.00E+00"/>
    </dxf>
    <dxf>
      <numFmt numFmtId="15" formatCode="0.00E+00"/>
    </dxf>
    <dxf>
      <numFmt numFmtId="15" formatCode="0.00E+00"/>
    </dxf>
    <dxf>
      <numFmt numFmtId="166" formatCode="[$-409]dd\-mmm\-yy;@"/>
    </dxf>
    <dxf>
      <numFmt numFmtId="19" formatCode="dd/mm/yyyy"/>
    </dxf>
    <dxf>
      <numFmt numFmtId="19" formatCode="dd/mm/yyyy"/>
    </dxf>
    <dxf>
      <numFmt numFmtId="164" formatCode="0.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66" formatCode="[$-409]dd\-mmm\-yy;@"/>
    </dxf>
    <dxf>
      <numFmt numFmtId="164" formatCode="0.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66" formatCode="[$-409]dd\-mmm\-yy;@"/>
    </dxf>
    <dxf>
      <numFmt numFmtId="169" formatCode="0.00000"/>
    </dxf>
    <dxf>
      <numFmt numFmtId="167" formatCode="0.000"/>
    </dxf>
    <dxf>
      <numFmt numFmtId="15" formatCode="0.00E+00"/>
    </dxf>
    <dxf>
      <numFmt numFmtId="15" formatCode="0.00E+00"/>
    </dxf>
    <dxf>
      <numFmt numFmtId="15" formatCode="0.00E+00"/>
    </dxf>
    <dxf>
      <numFmt numFmtId="166" formatCode="[$-409]dd\-mmm\-yy;@"/>
    </dxf>
    <dxf>
      <numFmt numFmtId="169" formatCode="0.00000"/>
    </dxf>
    <dxf>
      <numFmt numFmtId="167" formatCode="0.000"/>
    </dxf>
    <dxf>
      <numFmt numFmtId="15" formatCode="0.00E+00"/>
    </dxf>
    <dxf>
      <numFmt numFmtId="15" formatCode="0.00E+00"/>
    </dxf>
    <dxf>
      <numFmt numFmtId="15" formatCode="0.00E+00"/>
    </dxf>
    <dxf>
      <numFmt numFmtId="166" formatCode="[$-409]dd\-mmm\-yy;@"/>
    </dxf>
    <dxf>
      <numFmt numFmtId="2" formatCode="0.00"/>
    </dxf>
    <dxf>
      <numFmt numFmtId="169" formatCode="0.00000"/>
    </dxf>
    <dxf>
      <numFmt numFmtId="167" formatCode="0.000"/>
    </dxf>
    <dxf>
      <numFmt numFmtId="15" formatCode="0.00E+00"/>
    </dxf>
    <dxf>
      <numFmt numFmtId="15" formatCode="0.00E+00"/>
    </dxf>
    <dxf>
      <numFmt numFmtId="15" formatCode="0.00E+00"/>
    </dxf>
    <dxf>
      <numFmt numFmtId="166" formatCode="[$-409]dd\-mmm\-yy;@"/>
    </dxf>
  </dxfs>
  <tableStyles count="0" defaultTableStyle="TableStyleMedium9" defaultPivotStyle="PivotStyleLight16"/>
  <colors>
    <mruColors>
      <color rgb="FF009900"/>
      <color rgb="FF00FF00"/>
      <color rgb="FF0000FF"/>
      <color rgb="FFFFFF99"/>
      <color rgb="FFFF9900"/>
      <color rgb="FFD6009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2010-2012</a:t>
            </a:r>
          </a:p>
        </c:rich>
      </c:tx>
      <c:layout>
        <c:manualLayout>
          <c:xMode val="edge"/>
          <c:yMode val="edge"/>
          <c:x val="0.43862068965518863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73"/>
          <c:y val="0.14479638009050938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High int. bunches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2010'!$B$18:$B$31</c:f>
              <c:numCache>
                <c:formatCode>[$-409]dd\-mmm\-yy;@</c:formatCode>
                <c:ptCount val="14"/>
                <c:pt idx="0">
                  <c:v>40349</c:v>
                </c:pt>
                <c:pt idx="1">
                  <c:v>40358</c:v>
                </c:pt>
                <c:pt idx="2">
                  <c:v>40361</c:v>
                </c:pt>
                <c:pt idx="3">
                  <c:v>40371</c:v>
                </c:pt>
                <c:pt idx="4">
                  <c:v>40372</c:v>
                </c:pt>
                <c:pt idx="5">
                  <c:v>40377</c:v>
                </c:pt>
                <c:pt idx="6">
                  <c:v>40388</c:v>
                </c:pt>
                <c:pt idx="7">
                  <c:v>40394</c:v>
                </c:pt>
                <c:pt idx="8">
                  <c:v>40397</c:v>
                </c:pt>
                <c:pt idx="9">
                  <c:v>40398</c:v>
                </c:pt>
                <c:pt idx="10">
                  <c:v>40410</c:v>
                </c:pt>
                <c:pt idx="11">
                  <c:v>40413</c:v>
                </c:pt>
                <c:pt idx="12">
                  <c:v>40414</c:v>
                </c:pt>
                <c:pt idx="13">
                  <c:v>40416</c:v>
                </c:pt>
              </c:numCache>
            </c:numRef>
          </c:xVal>
          <c:yVal>
            <c:numRef>
              <c:f>'Lumi Protons 2010'!$M$18:$M$31</c:f>
              <c:numCache>
                <c:formatCode>0.000</c:formatCode>
                <c:ptCount val="14"/>
                <c:pt idx="0">
                  <c:v>0.11214</c:v>
                </c:pt>
                <c:pt idx="1">
                  <c:v>0.16821</c:v>
                </c:pt>
                <c:pt idx="2">
                  <c:v>0.370062</c:v>
                </c:pt>
                <c:pt idx="3">
                  <c:v>0.45416700000000004</c:v>
                </c:pt>
                <c:pt idx="4">
                  <c:v>0.60555600000000009</c:v>
                </c:pt>
                <c:pt idx="5">
                  <c:v>0.65601900000000002</c:v>
                </c:pt>
                <c:pt idx="6">
                  <c:v>1.1214000000000002</c:v>
                </c:pt>
                <c:pt idx="7">
                  <c:v>1.2615750000000001</c:v>
                </c:pt>
                <c:pt idx="8">
                  <c:v>1.2615750000000001</c:v>
                </c:pt>
                <c:pt idx="9">
                  <c:v>1.3316625000000002</c:v>
                </c:pt>
                <c:pt idx="10">
                  <c:v>2.4222240000000004</c:v>
                </c:pt>
                <c:pt idx="11">
                  <c:v>2.6106191999999995</c:v>
                </c:pt>
                <c:pt idx="12">
                  <c:v>2.8035000000000001</c:v>
                </c:pt>
                <c:pt idx="13">
                  <c:v>3.0042306000000005</c:v>
                </c:pt>
              </c:numCache>
            </c:numRef>
          </c:yVal>
        </c:ser>
        <c:ser>
          <c:idx val="0"/>
          <c:order val="1"/>
          <c:tx>
            <c:v>Low int. bunches</c:v>
          </c:tx>
          <c:spPr>
            <a:ln>
              <a:solidFill>
                <a:srgbClr val="0000FF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'Lumi Protons 2010'!$B$11:$B$17</c:f>
              <c:numCache>
                <c:formatCode>[$-409]dd\-mmm\-yy;@</c:formatCode>
                <c:ptCount val="7"/>
                <c:pt idx="0">
                  <c:v>40272</c:v>
                </c:pt>
                <c:pt idx="1">
                  <c:v>40287</c:v>
                </c:pt>
                <c:pt idx="2">
                  <c:v>40306</c:v>
                </c:pt>
                <c:pt idx="3">
                  <c:v>40312</c:v>
                </c:pt>
                <c:pt idx="4">
                  <c:v>40313</c:v>
                </c:pt>
                <c:pt idx="5">
                  <c:v>40322</c:v>
                </c:pt>
                <c:pt idx="6">
                  <c:v>40323</c:v>
                </c:pt>
              </c:numCache>
            </c:numRef>
          </c:xVal>
          <c:yVal>
            <c:numRef>
              <c:f>'Lumi Protons 2010'!$M$11:$M$17</c:f>
              <c:numCache>
                <c:formatCode>0.000</c:formatCode>
                <c:ptCount val="7"/>
                <c:pt idx="0">
                  <c:v>1.1214E-2</c:v>
                </c:pt>
                <c:pt idx="1">
                  <c:v>2.0185200000000004E-2</c:v>
                </c:pt>
                <c:pt idx="2">
                  <c:v>2.2428E-2</c:v>
                </c:pt>
                <c:pt idx="3">
                  <c:v>4.9341599999999999E-2</c:v>
                </c:pt>
                <c:pt idx="4">
                  <c:v>7.0648200000000022E-2</c:v>
                </c:pt>
                <c:pt idx="5">
                  <c:v>0.15307110000000002</c:v>
                </c:pt>
                <c:pt idx="6">
                  <c:v>0.17493839999999999</c:v>
                </c:pt>
              </c:numCache>
            </c:numRef>
          </c:yVal>
        </c:ser>
        <c:ser>
          <c:idx val="1"/>
          <c:order val="2"/>
          <c:tx>
            <c:v>150 ns</c:v>
          </c:tx>
          <c:spPr>
            <a:ln>
              <a:solidFill>
                <a:srgbClr val="00FF00"/>
              </a:solidFill>
            </a:ln>
          </c:spPr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9900"/>
                </a:solidFill>
              </a:ln>
            </c:spPr>
          </c:marker>
          <c:xVal>
            <c:numRef>
              <c:f>'Lumi Protons 2010'!$B$32:$B$44</c:f>
              <c:numCache>
                <c:formatCode>[$-409]dd\-mmm\-yy;@</c:formatCode>
                <c:ptCount val="13"/>
                <c:pt idx="0">
                  <c:v>40443</c:v>
                </c:pt>
                <c:pt idx="1">
                  <c:v>40444</c:v>
                </c:pt>
                <c:pt idx="2">
                  <c:v>40446</c:v>
                </c:pt>
                <c:pt idx="3">
                  <c:v>40451</c:v>
                </c:pt>
                <c:pt idx="4">
                  <c:v>40454</c:v>
                </c:pt>
                <c:pt idx="5">
                  <c:v>40455</c:v>
                </c:pt>
                <c:pt idx="6">
                  <c:v>40459</c:v>
                </c:pt>
                <c:pt idx="7">
                  <c:v>40462</c:v>
                </c:pt>
                <c:pt idx="8">
                  <c:v>40465</c:v>
                </c:pt>
                <c:pt idx="9">
                  <c:v>40467</c:v>
                </c:pt>
                <c:pt idx="10">
                  <c:v>40469</c:v>
                </c:pt>
                <c:pt idx="11">
                  <c:v>40475</c:v>
                </c:pt>
                <c:pt idx="12">
                  <c:v>40475</c:v>
                </c:pt>
              </c:numCache>
            </c:numRef>
          </c:xVal>
          <c:yVal>
            <c:numRef>
              <c:f>'Lumi Protons 2010'!$M$32:$M$44</c:f>
              <c:numCache>
                <c:formatCode>0.000</c:formatCode>
                <c:ptCount val="13"/>
                <c:pt idx="0">
                  <c:v>1.34568</c:v>
                </c:pt>
                <c:pt idx="1">
                  <c:v>3.2969160000000004</c:v>
                </c:pt>
                <c:pt idx="2">
                  <c:v>6.1228440000000006</c:v>
                </c:pt>
                <c:pt idx="3">
                  <c:v>8.5226399999999991</c:v>
                </c:pt>
                <c:pt idx="4">
                  <c:v>9.7158096</c:v>
                </c:pt>
                <c:pt idx="5">
                  <c:v>11.214</c:v>
                </c:pt>
                <c:pt idx="6">
                  <c:v>14.322520800000001</c:v>
                </c:pt>
                <c:pt idx="7">
                  <c:v>14.600628</c:v>
                </c:pt>
                <c:pt idx="8">
                  <c:v>14.878735199999999</c:v>
                </c:pt>
                <c:pt idx="9">
                  <c:v>19.7680392</c:v>
                </c:pt>
                <c:pt idx="10">
                  <c:v>20.117916000000001</c:v>
                </c:pt>
                <c:pt idx="11">
                  <c:v>20.467792799999998</c:v>
                </c:pt>
                <c:pt idx="12">
                  <c:v>24.347836799999996</c:v>
                </c:pt>
              </c:numCache>
            </c:numRef>
          </c:yVal>
        </c:ser>
        <c:ser>
          <c:idx val="3"/>
          <c:order val="3"/>
          <c:tx>
            <c:v>75 ns</c:v>
          </c:tx>
          <c:spPr>
            <a:ln>
              <a:solidFill>
                <a:srgbClr val="D60093"/>
              </a:solidFill>
            </a:ln>
          </c:spPr>
          <c:marker>
            <c:symbol val="diamond"/>
            <c:size val="9"/>
            <c:spPr>
              <a:solidFill>
                <a:srgbClr val="D60093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'Lumi Protons 2011'!$B$19:$B$22</c:f>
              <c:numCache>
                <c:formatCode>[$-409]dd\-mmm\-yy;@</c:formatCode>
                <c:ptCount val="4"/>
                <c:pt idx="0">
                  <c:v>40620</c:v>
                </c:pt>
                <c:pt idx="1">
                  <c:v>40621</c:v>
                </c:pt>
                <c:pt idx="2">
                  <c:v>40622</c:v>
                </c:pt>
                <c:pt idx="3">
                  <c:v>40624</c:v>
                </c:pt>
              </c:numCache>
            </c:numRef>
          </c:xVal>
          <c:yVal>
            <c:numRef>
              <c:f>'Lumi Protons 2011'!$M$19:$M$22</c:f>
              <c:numCache>
                <c:formatCode>0.000</c:formatCode>
                <c:ptCount val="4"/>
                <c:pt idx="0">
                  <c:v>1.9736640000000001</c:v>
                </c:pt>
                <c:pt idx="1">
                  <c:v>4.1267520000000006</c:v>
                </c:pt>
                <c:pt idx="2">
                  <c:v>8.9218584000000014</c:v>
                </c:pt>
                <c:pt idx="3">
                  <c:v>13.456800000000001</c:v>
                </c:pt>
              </c:numCache>
            </c:numRef>
          </c:yVal>
        </c:ser>
        <c:ser>
          <c:idx val="5"/>
          <c:order val="4"/>
          <c:tx>
            <c:v>50 ns</c:v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9"/>
            <c:spPr>
              <a:solidFill>
                <a:srgbClr val="0099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'Lumi Protons 2011'!$B$23:$B$52</c:f>
              <c:numCache>
                <c:formatCode>[$-409]dd\-mmm\-yy;@</c:formatCode>
                <c:ptCount val="30"/>
                <c:pt idx="0">
                  <c:v>40648</c:v>
                </c:pt>
                <c:pt idx="1">
                  <c:v>40650</c:v>
                </c:pt>
                <c:pt idx="2">
                  <c:v>40654</c:v>
                </c:pt>
                <c:pt idx="3">
                  <c:v>40655</c:v>
                </c:pt>
                <c:pt idx="4">
                  <c:v>40656</c:v>
                </c:pt>
                <c:pt idx="5">
                  <c:v>40660</c:v>
                </c:pt>
                <c:pt idx="6">
                  <c:v>40661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40684</c:v>
                </c:pt>
                <c:pt idx="11">
                  <c:v>40685</c:v>
                </c:pt>
                <c:pt idx="12">
                  <c:v>40686</c:v>
                </c:pt>
                <c:pt idx="13">
                  <c:v>40692</c:v>
                </c:pt>
                <c:pt idx="14">
                  <c:v>40718</c:v>
                </c:pt>
                <c:pt idx="15">
                  <c:v>40722</c:v>
                </c:pt>
                <c:pt idx="16">
                  <c:v>40746</c:v>
                </c:pt>
                <c:pt idx="17">
                  <c:v>40747</c:v>
                </c:pt>
                <c:pt idx="18">
                  <c:v>40748</c:v>
                </c:pt>
                <c:pt idx="19">
                  <c:v>40755</c:v>
                </c:pt>
                <c:pt idx="20">
                  <c:v>40762</c:v>
                </c:pt>
                <c:pt idx="21">
                  <c:v>40767</c:v>
                </c:pt>
                <c:pt idx="22">
                  <c:v>40773</c:v>
                </c:pt>
                <c:pt idx="23">
                  <c:v>40795</c:v>
                </c:pt>
                <c:pt idx="24">
                  <c:v>40798</c:v>
                </c:pt>
                <c:pt idx="25">
                  <c:v>40800</c:v>
                </c:pt>
                <c:pt idx="26">
                  <c:v>40801</c:v>
                </c:pt>
                <c:pt idx="27">
                  <c:v>40825</c:v>
                </c:pt>
                <c:pt idx="28">
                  <c:v>40831</c:v>
                </c:pt>
                <c:pt idx="29">
                  <c:v>40832</c:v>
                </c:pt>
              </c:numCache>
            </c:numRef>
          </c:xVal>
          <c:yVal>
            <c:numRef>
              <c:f>'Lumi Protons 2011'!$M$23:$M$52</c:f>
              <c:numCache>
                <c:formatCode>0.000</c:formatCode>
                <c:ptCount val="30"/>
                <c:pt idx="0">
                  <c:v>15.340752</c:v>
                </c:pt>
                <c:pt idx="1">
                  <c:v>23.549399999999999</c:v>
                </c:pt>
                <c:pt idx="2">
                  <c:v>31.085208000000002</c:v>
                </c:pt>
                <c:pt idx="3">
                  <c:v>33.103728000000004</c:v>
                </c:pt>
                <c:pt idx="4">
                  <c:v>33.103728000000004</c:v>
                </c:pt>
                <c:pt idx="5">
                  <c:v>41.985216000000001</c:v>
                </c:pt>
                <c:pt idx="6">
                  <c:v>41.985216000000001</c:v>
                </c:pt>
                <c:pt idx="7">
                  <c:v>42.684969599999995</c:v>
                </c:pt>
                <c:pt idx="8">
                  <c:v>51.674112000000001</c:v>
                </c:pt>
                <c:pt idx="9">
                  <c:v>55.119052799999999</c:v>
                </c:pt>
                <c:pt idx="10">
                  <c:v>60.851649600000009</c:v>
                </c:pt>
                <c:pt idx="11">
                  <c:v>61.363008000000001</c:v>
                </c:pt>
                <c:pt idx="12">
                  <c:v>64.942516800000007</c:v>
                </c:pt>
                <c:pt idx="13">
                  <c:v>74.086412399999986</c:v>
                </c:pt>
                <c:pt idx="14">
                  <c:v>81.083948399999997</c:v>
                </c:pt>
                <c:pt idx="15">
                  <c:v>88.209324000000009</c:v>
                </c:pt>
                <c:pt idx="16">
                  <c:v>86.661792000000005</c:v>
                </c:pt>
                <c:pt idx="17">
                  <c:v>92.851920000000007</c:v>
                </c:pt>
                <c:pt idx="18">
                  <c:v>92.851920000000007</c:v>
                </c:pt>
                <c:pt idx="19">
                  <c:v>93.625686000000002</c:v>
                </c:pt>
                <c:pt idx="20">
                  <c:v>97.494516000000004</c:v>
                </c:pt>
                <c:pt idx="21">
                  <c:v>104.45841</c:v>
                </c:pt>
                <c:pt idx="22">
                  <c:v>99.042047999999994</c:v>
                </c:pt>
                <c:pt idx="23">
                  <c:v>98.268282000000013</c:v>
                </c:pt>
                <c:pt idx="24">
                  <c:v>100.58958</c:v>
                </c:pt>
                <c:pt idx="25">
                  <c:v>102.60137160000002</c:v>
                </c:pt>
                <c:pt idx="26">
                  <c:v>107.166591</c:v>
                </c:pt>
                <c:pt idx="27">
                  <c:v>105.77381220000001</c:v>
                </c:pt>
                <c:pt idx="28">
                  <c:v>110.41640820000001</c:v>
                </c:pt>
                <c:pt idx="29">
                  <c:v>107.166591</c:v>
                </c:pt>
              </c:numCache>
            </c:numRef>
          </c:yVal>
        </c:ser>
        <c:ser>
          <c:idx val="6"/>
          <c:order val="5"/>
          <c:tx>
            <c:v>50 ns</c:v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9"/>
            <c:spPr>
              <a:solidFill>
                <a:srgbClr val="0099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'Lumi Protons 2012'!$B$18:$B$28</c:f>
              <c:numCache>
                <c:formatCode>[$-409]dd\-mmm\-yy;@</c:formatCode>
                <c:ptCount val="11"/>
                <c:pt idx="0">
                  <c:v>41004</c:v>
                </c:pt>
                <c:pt idx="1">
                  <c:v>41004</c:v>
                </c:pt>
                <c:pt idx="2">
                  <c:v>41005</c:v>
                </c:pt>
                <c:pt idx="3">
                  <c:v>41007</c:v>
                </c:pt>
                <c:pt idx="4">
                  <c:v>41007</c:v>
                </c:pt>
                <c:pt idx="5">
                  <c:v>41007</c:v>
                </c:pt>
                <c:pt idx="6">
                  <c:v>41011</c:v>
                </c:pt>
                <c:pt idx="7">
                  <c:v>41012</c:v>
                </c:pt>
                <c:pt idx="8">
                  <c:v>41014</c:v>
                </c:pt>
                <c:pt idx="9">
                  <c:v>41017</c:v>
                </c:pt>
                <c:pt idx="10">
                  <c:v>41018</c:v>
                </c:pt>
              </c:numCache>
            </c:numRef>
          </c:xVal>
          <c:yVal>
            <c:numRef>
              <c:f>'Lumi Protons 2012'!$M$18:$M$28</c:f>
              <c:numCache>
                <c:formatCode>0.000</c:formatCode>
                <c:ptCount val="11"/>
                <c:pt idx="0">
                  <c:v>3.614112</c:v>
                </c:pt>
                <c:pt idx="1">
                  <c:v>7.0513632000000008</c:v>
                </c:pt>
                <c:pt idx="2">
                  <c:v>7.8049440000000008</c:v>
                </c:pt>
                <c:pt idx="3">
                  <c:v>22.499769600000004</c:v>
                </c:pt>
                <c:pt idx="4">
                  <c:v>24.8681664</c:v>
                </c:pt>
                <c:pt idx="5">
                  <c:v>55.180569600000005</c:v>
                </c:pt>
                <c:pt idx="6">
                  <c:v>69.437088000000003</c:v>
                </c:pt>
                <c:pt idx="7">
                  <c:v>89.568460799999997</c:v>
                </c:pt>
                <c:pt idx="8">
                  <c:v>94.466736000000012</c:v>
                </c:pt>
                <c:pt idx="9">
                  <c:v>112.30660800000001</c:v>
                </c:pt>
                <c:pt idx="10">
                  <c:v>114.075216</c:v>
                </c:pt>
              </c:numCache>
            </c:numRef>
          </c:yVal>
        </c:ser>
        <c:axId val="86154624"/>
        <c:axId val="86086400"/>
      </c:scatterChart>
      <c:valAx>
        <c:axId val="86154624"/>
        <c:scaling>
          <c:orientation val="minMax"/>
          <c:max val="41060"/>
          <c:min val="40252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6086400"/>
        <c:crossesAt val="1.0000000000000005E-2"/>
        <c:crossBetween val="midCat"/>
      </c:valAx>
      <c:valAx>
        <c:axId val="86086400"/>
        <c:scaling>
          <c:logBase val="10"/>
          <c:orientation val="minMax"/>
          <c:max val="200"/>
          <c:min val="1.0000000000000005E-2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Stored</a:t>
                </a:r>
                <a:r>
                  <a:rPr lang="en-US" baseline="0"/>
                  <a:t> Energy</a:t>
                </a:r>
                <a:r>
                  <a:rPr lang="en-US"/>
                  <a:t> (MJ)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6154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60275862068965713"/>
          <c:y val="0.49095022624434503"/>
          <c:w val="0.23032419223459136"/>
          <c:h val="0.267944561228490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Pb ion run 2010</a:t>
            </a:r>
          </a:p>
        </c:rich>
      </c:tx>
      <c:layout>
        <c:manualLayout>
          <c:xMode val="edge"/>
          <c:yMode val="edge"/>
          <c:x val="0.3393103448276017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57"/>
          <c:y val="0.14479638009050927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Early ion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Ions 2010'!$B$14:$B$22</c:f>
              <c:numCache>
                <c:formatCode>[$-409]dd\-mmm\-yy;@</c:formatCode>
                <c:ptCount val="9"/>
                <c:pt idx="0">
                  <c:v>40488</c:v>
                </c:pt>
                <c:pt idx="1">
                  <c:v>40490</c:v>
                </c:pt>
                <c:pt idx="2">
                  <c:v>40491</c:v>
                </c:pt>
                <c:pt idx="3">
                  <c:v>40493</c:v>
                </c:pt>
                <c:pt idx="4">
                  <c:v>40495</c:v>
                </c:pt>
                <c:pt idx="5">
                  <c:v>40497</c:v>
                </c:pt>
                <c:pt idx="6">
                  <c:v>40498</c:v>
                </c:pt>
                <c:pt idx="7">
                  <c:v>40509</c:v>
                </c:pt>
                <c:pt idx="8">
                  <c:v>40513</c:v>
                </c:pt>
              </c:numCache>
            </c:numRef>
          </c:xVal>
          <c:yVal>
            <c:numRef>
              <c:f>'Lumi Ions 2010'!$I$14:$I$22</c:f>
              <c:numCache>
                <c:formatCode>0.00E+00</c:formatCode>
                <c:ptCount val="9"/>
                <c:pt idx="0">
                  <c:v>1.9999999999999998E+23</c:v>
                </c:pt>
                <c:pt idx="1">
                  <c:v>9.9999999999999998E+23</c:v>
                </c:pt>
                <c:pt idx="2">
                  <c:v>3.4000000000000001E+24</c:v>
                </c:pt>
                <c:pt idx="3">
                  <c:v>5.9999999999999999E+24</c:v>
                </c:pt>
                <c:pt idx="4">
                  <c:v>7.0000000000000004E+24</c:v>
                </c:pt>
                <c:pt idx="5">
                  <c:v>2.0000000000000002E+25</c:v>
                </c:pt>
                <c:pt idx="6">
                  <c:v>2.8000000000000002E+25</c:v>
                </c:pt>
                <c:pt idx="7">
                  <c:v>3.0000000000000001E+25</c:v>
                </c:pt>
                <c:pt idx="8">
                  <c:v>3.1999999999999999E+25</c:v>
                </c:pt>
              </c:numCache>
            </c:numRef>
          </c:yVal>
        </c:ser>
        <c:axId val="90760704"/>
        <c:axId val="90762624"/>
      </c:scatterChart>
      <c:valAx>
        <c:axId val="90760704"/>
        <c:scaling>
          <c:orientation val="minMax"/>
          <c:max val="40520"/>
          <c:min val="40487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0762624"/>
        <c:crossesAt val="1E+22"/>
        <c:crossBetween val="midCat"/>
      </c:valAx>
      <c:valAx>
        <c:axId val="90762624"/>
        <c:scaling>
          <c:logBase val="10"/>
          <c:orientation val="minMax"/>
          <c:max val="1E+26"/>
          <c:min val="1.0000000000000003E+23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Luminosity (cm-2s-1)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0760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103448275862064"/>
          <c:y val="0.33936651583710808"/>
          <c:w val="0.19446212326907411"/>
          <c:h val="9.063099013075856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Optimum fill length</a:t>
            </a:r>
          </a:p>
        </c:rich>
      </c:tx>
      <c:layout>
        <c:manualLayout>
          <c:xMode val="edge"/>
          <c:yMode val="edge"/>
          <c:x val="0.31863192258482831"/>
          <c:y val="3.31157398841197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44216343220244"/>
          <c:y val="0.12420827021398745"/>
          <c:w val="0.70344827586206859"/>
          <c:h val="0.70135746606334803"/>
        </c:manualLayout>
      </c:layout>
      <c:scatterChart>
        <c:scatterStyle val="lineMarker"/>
        <c:ser>
          <c:idx val="0"/>
          <c:order val="0"/>
          <c:tx>
            <c:v>Test</c:v>
          </c:tx>
          <c:marker>
            <c:symbol val="diamond"/>
            <c:size val="8"/>
            <c:spPr>
              <a:solidFill>
                <a:srgbClr val="0000FF"/>
              </a:solidFill>
            </c:spPr>
          </c:marker>
          <c:xVal>
            <c:numRef>
              <c:f>'Fill length p'!$C$18:$C$47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25</c:v>
                </c:pt>
              </c:numCache>
            </c:numRef>
          </c:xVal>
          <c:yVal>
            <c:numRef>
              <c:f>'Fill length p'!$E$18:$E$47</c:f>
              <c:numCache>
                <c:formatCode>0.000</c:formatCode>
                <c:ptCount val="30"/>
                <c:pt idx="0">
                  <c:v>2.0872173731248145</c:v>
                </c:pt>
                <c:pt idx="1">
                  <c:v>3.6991960368604215</c:v>
                </c:pt>
                <c:pt idx="2">
                  <c:v>4.9671630687096675</c:v>
                </c:pt>
                <c:pt idx="3">
                  <c:v>5.9785575964957838</c:v>
                </c:pt>
                <c:pt idx="4">
                  <c:v>6.7938736122446244</c:v>
                </c:pt>
                <c:pt idx="5">
                  <c:v>7.4562844002696265</c:v>
                </c:pt>
                <c:pt idx="6">
                  <c:v>7.9974171605604711</c:v>
                </c:pt>
                <c:pt idx="7">
                  <c:v>8.4409621179951912</c:v>
                </c:pt>
                <c:pt idx="8">
                  <c:v>8.8050078005642174</c:v>
                </c:pt>
                <c:pt idx="9">
                  <c:v>9.1035978661299115</c:v>
                </c:pt>
                <c:pt idx="10">
                  <c:v>9.3477962763695803</c:v>
                </c:pt>
                <c:pt idx="11">
                  <c:v>9.5464328970692005</c:v>
                </c:pt>
                <c:pt idx="12">
                  <c:v>9.706636049946594</c:v>
                </c:pt>
                <c:pt idx="13">
                  <c:v>9.8342198047357385</c:v>
                </c:pt>
                <c:pt idx="14">
                  <c:v>9.9339702215574288</c:v>
                </c:pt>
                <c:pt idx="15">
                  <c:v>10.009860016910606</c:v>
                </c:pt>
                <c:pt idx="16">
                  <c:v>10.065211695136805</c:v>
                </c:pt>
                <c:pt idx="17">
                  <c:v>10.102823020472604</c:v>
                </c:pt>
                <c:pt idx="18">
                  <c:v>10.133956507265905</c:v>
                </c:pt>
                <c:pt idx="19">
                  <c:v>10.118371725135411</c:v>
                </c:pt>
                <c:pt idx="20">
                  <c:v>10.06724617370144</c:v>
                </c:pt>
                <c:pt idx="21">
                  <c:v>9.9889894810851754</c:v>
                </c:pt>
                <c:pt idx="22">
                  <c:v>9.8900201462524979</c:v>
                </c:pt>
                <c:pt idx="23">
                  <c:v>9.7752965414793067</c:v>
                </c:pt>
                <c:pt idx="24">
                  <c:v>9.6486882099591043</c:v>
                </c:pt>
                <c:pt idx="25">
                  <c:v>9.5132407168238675</c:v>
                </c:pt>
                <c:pt idx="26">
                  <c:v>9.3713679438564998</c:v>
                </c:pt>
                <c:pt idx="27">
                  <c:v>9.2249939290386003</c:v>
                </c:pt>
                <c:pt idx="28">
                  <c:v>9.0756589839383821</c:v>
                </c:pt>
                <c:pt idx="29">
                  <c:v>8.3203391631211332</c:v>
                </c:pt>
              </c:numCache>
            </c:numRef>
          </c:yVal>
        </c:ser>
        <c:axId val="90716032"/>
        <c:axId val="96404992"/>
      </c:scatterChart>
      <c:valAx>
        <c:axId val="90716032"/>
        <c:scaling>
          <c:orientation val="minMax"/>
          <c:max val="25"/>
          <c:min val="0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#,##0.00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6404992"/>
        <c:crosses val="autoZero"/>
        <c:crossBetween val="midCat"/>
      </c:valAx>
      <c:valAx>
        <c:axId val="96404992"/>
        <c:scaling>
          <c:orientation val="minMax"/>
          <c:max val="12"/>
          <c:min val="0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Integrated</a:t>
                </a:r>
                <a:r>
                  <a:rPr lang="en-US" baseline="0"/>
                  <a:t> L/unit time (pb-1/h)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514219667446605E-2"/>
              <c:y val="0.1570017896173963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0716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Optimum fill length</a:t>
            </a:r>
          </a:p>
        </c:rich>
      </c:tx>
      <c:layout>
        <c:manualLayout>
          <c:xMode val="edge"/>
          <c:yMode val="edge"/>
          <c:x val="0.31863192258482831"/>
          <c:y val="3.31157398841197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44216343220249"/>
          <c:y val="0.12420827021398752"/>
          <c:w val="0.70344827586206859"/>
          <c:h val="0.70135746606334803"/>
        </c:manualLayout>
      </c:layout>
      <c:scatterChart>
        <c:scatterStyle val="lineMarker"/>
        <c:ser>
          <c:idx val="0"/>
          <c:order val="0"/>
          <c:tx>
            <c:v>Test</c:v>
          </c:tx>
          <c:marker>
            <c:symbol val="diamond"/>
            <c:size val="8"/>
            <c:spPr>
              <a:solidFill>
                <a:srgbClr val="0000FF"/>
              </a:solidFill>
            </c:spPr>
          </c:marker>
          <c:xVal>
            <c:numRef>
              <c:f>'Fill length p'!$C$18:$C$47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25</c:v>
                </c:pt>
              </c:numCache>
            </c:numRef>
          </c:xVal>
          <c:yVal>
            <c:numRef>
              <c:f>'Fill length p'!$F$18:$F$47</c:f>
              <c:numCache>
                <c:formatCode>0.00</c:formatCode>
                <c:ptCount val="30"/>
                <c:pt idx="0">
                  <c:v>50.093216954995547</c:v>
                </c:pt>
                <c:pt idx="1">
                  <c:v>88.78070488465012</c:v>
                </c:pt>
                <c:pt idx="2">
                  <c:v>119.21191364903203</c:v>
                </c:pt>
                <c:pt idx="3">
                  <c:v>143.48538231589882</c:v>
                </c:pt>
                <c:pt idx="4">
                  <c:v>163.05296669387099</c:v>
                </c:pt>
                <c:pt idx="5">
                  <c:v>178.95082560647103</c:v>
                </c:pt>
                <c:pt idx="6">
                  <c:v>191.93801185345131</c:v>
                </c:pt>
                <c:pt idx="7">
                  <c:v>202.58309083188459</c:v>
                </c:pt>
                <c:pt idx="8">
                  <c:v>211.3201872135412</c:v>
                </c:pt>
                <c:pt idx="9">
                  <c:v>218.48634878711789</c:v>
                </c:pt>
                <c:pt idx="10">
                  <c:v>224.34711063286994</c:v>
                </c:pt>
                <c:pt idx="11">
                  <c:v>229.1143895296608</c:v>
                </c:pt>
                <c:pt idx="12">
                  <c:v>232.95926519871824</c:v>
                </c:pt>
                <c:pt idx="13">
                  <c:v>236.02127531365772</c:v>
                </c:pt>
                <c:pt idx="14">
                  <c:v>238.41528531737828</c:v>
                </c:pt>
                <c:pt idx="15">
                  <c:v>240.23664040585453</c:v>
                </c:pt>
                <c:pt idx="16">
                  <c:v>241.56508068328333</c:v>
                </c:pt>
                <c:pt idx="17">
                  <c:v>242.46775249134248</c:v>
                </c:pt>
                <c:pt idx="18">
                  <c:v>243.21495617438171</c:v>
                </c:pt>
                <c:pt idx="19">
                  <c:v>242.84092140324987</c:v>
                </c:pt>
                <c:pt idx="20">
                  <c:v>241.61390816883454</c:v>
                </c:pt>
                <c:pt idx="21">
                  <c:v>239.73574754604419</c:v>
                </c:pt>
                <c:pt idx="22">
                  <c:v>237.36048351005996</c:v>
                </c:pt>
                <c:pt idx="23">
                  <c:v>234.60711699550336</c:v>
                </c:pt>
                <c:pt idx="24">
                  <c:v>231.5685170390185</c:v>
                </c:pt>
                <c:pt idx="25">
                  <c:v>228.31777720377283</c:v>
                </c:pt>
                <c:pt idx="26">
                  <c:v>224.91283065255601</c:v>
                </c:pt>
                <c:pt idx="27">
                  <c:v>221.39985429692641</c:v>
                </c:pt>
                <c:pt idx="28">
                  <c:v>217.81581561452117</c:v>
                </c:pt>
                <c:pt idx="29">
                  <c:v>199.6881399149072</c:v>
                </c:pt>
              </c:numCache>
            </c:numRef>
          </c:yVal>
        </c:ser>
        <c:axId val="96214400"/>
        <c:axId val="96439296"/>
      </c:scatterChart>
      <c:valAx>
        <c:axId val="96214400"/>
        <c:scaling>
          <c:orientation val="minMax"/>
          <c:max val="25"/>
          <c:min val="0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#,##0.00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6439296"/>
        <c:crosses val="autoZero"/>
        <c:crossBetween val="midCat"/>
      </c:valAx>
      <c:valAx>
        <c:axId val="96439296"/>
        <c:scaling>
          <c:orientation val="minMax"/>
          <c:max val="300"/>
          <c:min val="0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Integrated</a:t>
                </a:r>
                <a:r>
                  <a:rPr lang="en-US" baseline="0"/>
                  <a:t> L/24 h (pb-1)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3509552358504748E-3"/>
              <c:y val="0.1570017896173926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6214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Production</a:t>
            </a:r>
            <a:r>
              <a:rPr lang="en-US" sz="2400" b="1" baseline="0">
                <a:solidFill>
                  <a:srgbClr val="0070C0"/>
                </a:solidFill>
              </a:rPr>
              <a:t> rate</a:t>
            </a:r>
            <a:endParaRPr lang="en-US" sz="2400" b="1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36761150917441116"/>
          <c:y val="1.89313374402328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44216343220249"/>
          <c:y val="0.12420827021398752"/>
          <c:w val="0.70344827586206859"/>
          <c:h val="0.70135746606334803"/>
        </c:manualLayout>
      </c:layout>
      <c:scatterChart>
        <c:scatterStyle val="lineMarker"/>
        <c:ser>
          <c:idx val="0"/>
          <c:order val="0"/>
          <c:tx>
            <c:v>Test</c:v>
          </c:tx>
          <c:marker>
            <c:symbol val="diamond"/>
            <c:size val="8"/>
            <c:spPr>
              <a:solidFill>
                <a:srgbClr val="0000FF"/>
              </a:solidFill>
            </c:spPr>
          </c:marker>
          <c:xVal>
            <c:numRef>
              <c:f>'Production hour'!$B$12:$B$25</c:f>
              <c:numCache>
                <c:formatCode>General</c:formatCode>
                <c:ptCount val="1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</c:numCache>
            </c:numRef>
          </c:xVal>
          <c:yVal>
            <c:numRef>
              <c:f>'Production hour'!$C$12:$C$25</c:f>
              <c:numCache>
                <c:formatCode>0.000</c:formatCode>
                <c:ptCount val="14"/>
                <c:pt idx="0">
                  <c:v>0</c:v>
                </c:pt>
                <c:pt idx="1">
                  <c:v>0.36</c:v>
                </c:pt>
                <c:pt idx="2">
                  <c:v>0.72</c:v>
                </c:pt>
                <c:pt idx="3">
                  <c:v>1.44</c:v>
                </c:pt>
                <c:pt idx="4">
                  <c:v>1.7999999999999998</c:v>
                </c:pt>
                <c:pt idx="5">
                  <c:v>3.5999999999999996</c:v>
                </c:pt>
                <c:pt idx="6">
                  <c:v>5.4</c:v>
                </c:pt>
                <c:pt idx="7">
                  <c:v>7.1999999999999993</c:v>
                </c:pt>
                <c:pt idx="8">
                  <c:v>9</c:v>
                </c:pt>
                <c:pt idx="9">
                  <c:v>10.8</c:v>
                </c:pt>
                <c:pt idx="10">
                  <c:v>12.599999999999996</c:v>
                </c:pt>
                <c:pt idx="11">
                  <c:v>14.399999999999999</c:v>
                </c:pt>
                <c:pt idx="12">
                  <c:v>16.2</c:v>
                </c:pt>
                <c:pt idx="13">
                  <c:v>18</c:v>
                </c:pt>
              </c:numCache>
            </c:numRef>
          </c:yVal>
        </c:ser>
        <c:axId val="96283648"/>
        <c:axId val="96563968"/>
      </c:scatterChart>
      <c:valAx>
        <c:axId val="96283648"/>
        <c:scaling>
          <c:orientation val="minMax"/>
          <c:max val="5"/>
          <c:min val="0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#,##0.00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6563968"/>
        <c:crosses val="autoZero"/>
        <c:crossBetween val="midCat"/>
      </c:valAx>
      <c:valAx>
        <c:axId val="96563968"/>
        <c:scaling>
          <c:orientation val="minMax"/>
          <c:max val="20"/>
          <c:min val="0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Integrated</a:t>
                </a:r>
                <a:r>
                  <a:rPr lang="en-US" baseline="0"/>
                  <a:t> L/unit time (pb-1/h)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514219667446605E-2"/>
              <c:y val="0.1570017896173964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6283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Optimum fill length</a:t>
            </a:r>
          </a:p>
        </c:rich>
      </c:tx>
      <c:layout>
        <c:manualLayout>
          <c:xMode val="edge"/>
          <c:yMode val="edge"/>
          <c:x val="0.31863192258482831"/>
          <c:y val="3.31157398841197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44216343220249"/>
          <c:y val="0.12420827021398752"/>
          <c:w val="0.70344827586206859"/>
          <c:h val="0.70135746606334803"/>
        </c:manualLayout>
      </c:layout>
      <c:scatterChart>
        <c:scatterStyle val="lineMarker"/>
        <c:ser>
          <c:idx val="0"/>
          <c:order val="0"/>
          <c:tx>
            <c:v>Test</c:v>
          </c:tx>
          <c:marker>
            <c:symbol val="diamond"/>
            <c:size val="8"/>
            <c:spPr>
              <a:solidFill>
                <a:srgbClr val="0000FF"/>
              </a:solidFill>
            </c:spPr>
          </c:marker>
          <c:xVal>
            <c:numRef>
              <c:f>'Fill length ion'!$C$12:$C$41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25</c:v>
                </c:pt>
              </c:numCache>
            </c:numRef>
          </c:xVal>
          <c:yVal>
            <c:numRef>
              <c:f>'Fill length ion'!$E$12:$E$41</c:f>
              <c:numCache>
                <c:formatCode>0.000</c:formatCode>
                <c:ptCount val="30"/>
                <c:pt idx="0">
                  <c:v>4.7250293448267408E-2</c:v>
                </c:pt>
                <c:pt idx="1">
                  <c:v>8.3418707291141869E-2</c:v>
                </c:pt>
                <c:pt idx="2">
                  <c:v>0.11128176477830633</c:v>
                </c:pt>
                <c:pt idx="3">
                  <c:v>0.13280762901759818</c:v>
                </c:pt>
                <c:pt idx="4">
                  <c:v>0.14942659758465565</c:v>
                </c:pt>
                <c:pt idx="5">
                  <c:v>0.16220008938068919</c:v>
                </c:pt>
                <c:pt idx="6">
                  <c:v>0.17192992608424179</c:v>
                </c:pt>
                <c:pt idx="7">
                  <c:v>0.17923113137025168</c:v>
                </c:pt>
                <c:pt idx="8">
                  <c:v>0.18458169258256835</c:v>
                </c:pt>
                <c:pt idx="9">
                  <c:v>0.18835735139985746</c:v>
                </c:pt>
                <c:pt idx="10">
                  <c:v>0.19085641682758941</c:v>
                </c:pt>
                <c:pt idx="11">
                  <c:v>0.19231777787963938</c:v>
                </c:pt>
                <c:pt idx="12">
                  <c:v>0.19293418795549891</c:v>
                </c:pt>
                <c:pt idx="13">
                  <c:v>0.19286220208394844</c:v>
                </c:pt>
                <c:pt idx="14">
                  <c:v>0.19222970608138346</c:v>
                </c:pt>
                <c:pt idx="15">
                  <c:v>0.19114168760331818</c:v>
                </c:pt>
                <c:pt idx="16">
                  <c:v>0.18968470636387591</c:v>
                </c:pt>
                <c:pt idx="17">
                  <c:v>0.18793039004322756</c:v>
                </c:pt>
                <c:pt idx="18">
                  <c:v>0.18375758567204287</c:v>
                </c:pt>
                <c:pt idx="19">
                  <c:v>0.17898933473168141</c:v>
                </c:pt>
                <c:pt idx="20">
                  <c:v>0.17388063277274532</c:v>
                </c:pt>
                <c:pt idx="21">
                  <c:v>0.16860961976886052</c:v>
                </c:pt>
                <c:pt idx="22">
                  <c:v>0.16330053274265063</c:v>
                </c:pt>
                <c:pt idx="23">
                  <c:v>0.15803940312315232</c:v>
                </c:pt>
                <c:pt idx="24">
                  <c:v>0.15288496743515262</c:v>
                </c:pt>
                <c:pt idx="25">
                  <c:v>0.14787635541812696</c:v>
                </c:pt>
                <c:pt idx="26">
                  <c:v>0.14303857003710732</c:v>
                </c:pt>
                <c:pt idx="27">
                  <c:v>0.13838643109116816</c:v>
                </c:pt>
                <c:pt idx="28">
                  <c:v>0.1339274353910202</c:v>
                </c:pt>
                <c:pt idx="29">
                  <c:v>0.11450067651652418</c:v>
                </c:pt>
              </c:numCache>
            </c:numRef>
          </c:yVal>
        </c:ser>
        <c:axId val="96282496"/>
        <c:axId val="96479488"/>
      </c:scatterChart>
      <c:valAx>
        <c:axId val="96282496"/>
        <c:scaling>
          <c:orientation val="minMax"/>
          <c:max val="20"/>
          <c:min val="0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#,##0.00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6479488"/>
        <c:crosses val="autoZero"/>
        <c:crossBetween val="midCat"/>
      </c:valAx>
      <c:valAx>
        <c:axId val="96479488"/>
        <c:scaling>
          <c:orientation val="minMax"/>
          <c:max val="0.4"/>
          <c:min val="0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Integrated</a:t>
                </a:r>
                <a:r>
                  <a:rPr lang="en-US" baseline="0"/>
                  <a:t> L/unit time (</a:t>
                </a:r>
                <a:r>
                  <a:rPr lang="en-US" baseline="0">
                    <a:latin typeface="Symbol" pitchFamily="18" charset="2"/>
                  </a:rPr>
                  <a:t>m</a:t>
                </a:r>
                <a:r>
                  <a:rPr lang="en-US" baseline="0"/>
                  <a:t>b-1/h)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9904111639175984E-3"/>
              <c:y val="0.15700178961739109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6282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Optimum fill length</a:t>
            </a:r>
          </a:p>
        </c:rich>
      </c:tx>
      <c:layout>
        <c:manualLayout>
          <c:xMode val="edge"/>
          <c:yMode val="edge"/>
          <c:x val="0.31863192258482831"/>
          <c:y val="3.31157398841197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523807217975549"/>
          <c:y val="0.16676147754564424"/>
          <c:w val="0.70344827586206859"/>
          <c:h val="0.70135746606334803"/>
        </c:manualLayout>
      </c:layout>
      <c:scatterChart>
        <c:scatterStyle val="lineMarker"/>
        <c:ser>
          <c:idx val="0"/>
          <c:order val="0"/>
          <c:tx>
            <c:v>Test</c:v>
          </c:tx>
          <c:marker>
            <c:symbol val="diamond"/>
            <c:size val="8"/>
            <c:spPr>
              <a:solidFill>
                <a:srgbClr val="0000FF"/>
              </a:solidFill>
            </c:spPr>
          </c:marker>
          <c:xVal>
            <c:numRef>
              <c:f>'Fill length ion'!$C$12:$C$41</c:f>
              <c:numCache>
                <c:formatCode>General</c:formatCode>
                <c:ptCount val="3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25</c:v>
                </c:pt>
              </c:numCache>
            </c:numRef>
          </c:xVal>
          <c:yVal>
            <c:numRef>
              <c:f>'Fill length ion'!$F$12:$F$41</c:f>
              <c:numCache>
                <c:formatCode>0.00</c:formatCode>
                <c:ptCount val="30"/>
                <c:pt idx="0">
                  <c:v>1.1340070427584177</c:v>
                </c:pt>
                <c:pt idx="1">
                  <c:v>2.0020489749874049</c:v>
                </c:pt>
                <c:pt idx="2">
                  <c:v>2.670762354679352</c:v>
                </c:pt>
                <c:pt idx="3">
                  <c:v>3.1873830964223564</c:v>
                </c:pt>
                <c:pt idx="4">
                  <c:v>3.5862383420317356</c:v>
                </c:pt>
                <c:pt idx="5">
                  <c:v>3.8928021451365407</c:v>
                </c:pt>
                <c:pt idx="6">
                  <c:v>4.1263182260218034</c:v>
                </c:pt>
                <c:pt idx="7">
                  <c:v>4.3015471528860401</c:v>
                </c:pt>
                <c:pt idx="8">
                  <c:v>4.4299606219816408</c:v>
                </c:pt>
                <c:pt idx="9">
                  <c:v>4.5205764335965792</c:v>
                </c:pt>
                <c:pt idx="10">
                  <c:v>4.5805540038621455</c:v>
                </c:pt>
                <c:pt idx="11">
                  <c:v>4.6156266691113448</c:v>
                </c:pt>
                <c:pt idx="12">
                  <c:v>4.630420510931974</c:v>
                </c:pt>
                <c:pt idx="13">
                  <c:v>4.6286928500147626</c:v>
                </c:pt>
                <c:pt idx="14">
                  <c:v>4.6135129459532029</c:v>
                </c:pt>
                <c:pt idx="15">
                  <c:v>4.5874005024796363</c:v>
                </c:pt>
                <c:pt idx="16">
                  <c:v>4.5524329527330218</c:v>
                </c:pt>
                <c:pt idx="17">
                  <c:v>4.5103293610374617</c:v>
                </c:pt>
                <c:pt idx="18">
                  <c:v>4.4101820561290292</c:v>
                </c:pt>
                <c:pt idx="19">
                  <c:v>4.2957440335603536</c:v>
                </c:pt>
                <c:pt idx="20">
                  <c:v>4.1731351865458874</c:v>
                </c:pt>
                <c:pt idx="21">
                  <c:v>4.0466308744526529</c:v>
                </c:pt>
                <c:pt idx="22">
                  <c:v>3.919212785823615</c:v>
                </c:pt>
                <c:pt idx="23">
                  <c:v>3.7929456749556554</c:v>
                </c:pt>
                <c:pt idx="24">
                  <c:v>3.6692392184436629</c:v>
                </c:pt>
                <c:pt idx="25">
                  <c:v>3.5490325300350474</c:v>
                </c:pt>
                <c:pt idx="26">
                  <c:v>3.4329256808905759</c:v>
                </c:pt>
                <c:pt idx="27">
                  <c:v>3.3212743461880359</c:v>
                </c:pt>
                <c:pt idx="28">
                  <c:v>3.2142584493844848</c:v>
                </c:pt>
                <c:pt idx="29">
                  <c:v>2.7480162363965803</c:v>
                </c:pt>
              </c:numCache>
            </c:numRef>
          </c:yVal>
        </c:ser>
        <c:axId val="96609792"/>
        <c:axId val="96611712"/>
      </c:scatterChart>
      <c:valAx>
        <c:axId val="96609792"/>
        <c:scaling>
          <c:orientation val="minMax"/>
          <c:max val="20"/>
          <c:min val="0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#,##0.00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6611712"/>
        <c:crosses val="autoZero"/>
        <c:crossBetween val="midCat"/>
      </c:valAx>
      <c:valAx>
        <c:axId val="96611712"/>
        <c:scaling>
          <c:orientation val="minMax"/>
          <c:max val="10"/>
          <c:min val="0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Integrated</a:t>
                </a:r>
                <a:r>
                  <a:rPr lang="en-US" baseline="0"/>
                  <a:t> L/24 h (</a:t>
                </a:r>
                <a:r>
                  <a:rPr lang="en-US" baseline="0">
                    <a:latin typeface="Symbol" pitchFamily="18" charset="2"/>
                  </a:rPr>
                  <a:t>m</a:t>
                </a:r>
                <a:r>
                  <a:rPr lang="en-US" baseline="0"/>
                  <a:t>b-1)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5017614760553394E-2"/>
              <c:y val="0.1759143262092389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6609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run 2010 : plan</a:t>
            </a:r>
            <a:r>
              <a:rPr lang="en-US" sz="2400" b="1" baseline="0">
                <a:solidFill>
                  <a:srgbClr val="0070C0"/>
                </a:solidFill>
              </a:rPr>
              <a:t> versus achieved</a:t>
            </a:r>
            <a:endParaRPr lang="en-US" sz="2400" b="1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9184143361390171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57"/>
          <c:y val="0.14479638009050927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High int. bunches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2010'!$B$18:$B$31</c:f>
              <c:numCache>
                <c:formatCode>[$-409]dd\-mmm\-yy;@</c:formatCode>
                <c:ptCount val="14"/>
                <c:pt idx="0">
                  <c:v>40349</c:v>
                </c:pt>
                <c:pt idx="1">
                  <c:v>40358</c:v>
                </c:pt>
                <c:pt idx="2">
                  <c:v>40361</c:v>
                </c:pt>
                <c:pt idx="3">
                  <c:v>40371</c:v>
                </c:pt>
                <c:pt idx="4">
                  <c:v>40372</c:v>
                </c:pt>
                <c:pt idx="5">
                  <c:v>40377</c:v>
                </c:pt>
                <c:pt idx="6">
                  <c:v>40388</c:v>
                </c:pt>
                <c:pt idx="7">
                  <c:v>40394</c:v>
                </c:pt>
                <c:pt idx="8">
                  <c:v>40397</c:v>
                </c:pt>
                <c:pt idx="9">
                  <c:v>40398</c:v>
                </c:pt>
                <c:pt idx="10">
                  <c:v>40410</c:v>
                </c:pt>
                <c:pt idx="11">
                  <c:v>40413</c:v>
                </c:pt>
                <c:pt idx="12">
                  <c:v>40414</c:v>
                </c:pt>
                <c:pt idx="13">
                  <c:v>40416</c:v>
                </c:pt>
              </c:numCache>
            </c:numRef>
          </c:xVal>
          <c:yVal>
            <c:numRef>
              <c:f>'Lumi Protons 2010'!$M$18:$M$31</c:f>
              <c:numCache>
                <c:formatCode>0.000</c:formatCode>
                <c:ptCount val="14"/>
                <c:pt idx="0">
                  <c:v>0.11214</c:v>
                </c:pt>
                <c:pt idx="1">
                  <c:v>0.16821</c:v>
                </c:pt>
                <c:pt idx="2">
                  <c:v>0.370062</c:v>
                </c:pt>
                <c:pt idx="3">
                  <c:v>0.45416700000000004</c:v>
                </c:pt>
                <c:pt idx="4">
                  <c:v>0.60555600000000009</c:v>
                </c:pt>
                <c:pt idx="5">
                  <c:v>0.65601900000000002</c:v>
                </c:pt>
                <c:pt idx="6">
                  <c:v>1.1214000000000002</c:v>
                </c:pt>
                <c:pt idx="7">
                  <c:v>1.2615750000000001</c:v>
                </c:pt>
                <c:pt idx="8">
                  <c:v>1.2615750000000001</c:v>
                </c:pt>
                <c:pt idx="9">
                  <c:v>1.3316625000000002</c:v>
                </c:pt>
                <c:pt idx="10">
                  <c:v>2.4222240000000004</c:v>
                </c:pt>
                <c:pt idx="11">
                  <c:v>2.6106191999999995</c:v>
                </c:pt>
                <c:pt idx="12">
                  <c:v>2.8035000000000001</c:v>
                </c:pt>
                <c:pt idx="13">
                  <c:v>3.0042306000000005</c:v>
                </c:pt>
              </c:numCache>
            </c:numRef>
          </c:yVal>
        </c:ser>
        <c:ser>
          <c:idx val="0"/>
          <c:order val="1"/>
          <c:tx>
            <c:v>Low int. bunches</c:v>
          </c:tx>
          <c:spPr>
            <a:ln>
              <a:solidFill>
                <a:srgbClr val="0000FF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'Lumi Protons 2010'!$B$11:$B$17</c:f>
              <c:numCache>
                <c:formatCode>[$-409]dd\-mmm\-yy;@</c:formatCode>
                <c:ptCount val="7"/>
                <c:pt idx="0">
                  <c:v>40272</c:v>
                </c:pt>
                <c:pt idx="1">
                  <c:v>40287</c:v>
                </c:pt>
                <c:pt idx="2">
                  <c:v>40306</c:v>
                </c:pt>
                <c:pt idx="3">
                  <c:v>40312</c:v>
                </c:pt>
                <c:pt idx="4">
                  <c:v>40313</c:v>
                </c:pt>
                <c:pt idx="5">
                  <c:v>40322</c:v>
                </c:pt>
                <c:pt idx="6">
                  <c:v>40323</c:v>
                </c:pt>
              </c:numCache>
            </c:numRef>
          </c:xVal>
          <c:yVal>
            <c:numRef>
              <c:f>'Lumi Protons 2010'!$M$11:$M$17</c:f>
              <c:numCache>
                <c:formatCode>0.000</c:formatCode>
                <c:ptCount val="7"/>
                <c:pt idx="0">
                  <c:v>1.1214E-2</c:v>
                </c:pt>
                <c:pt idx="1">
                  <c:v>2.0185200000000004E-2</c:v>
                </c:pt>
                <c:pt idx="2">
                  <c:v>2.2428E-2</c:v>
                </c:pt>
                <c:pt idx="3">
                  <c:v>4.9341599999999999E-2</c:v>
                </c:pt>
                <c:pt idx="4">
                  <c:v>7.0648200000000022E-2</c:v>
                </c:pt>
                <c:pt idx="5">
                  <c:v>0.15307110000000002</c:v>
                </c:pt>
                <c:pt idx="6">
                  <c:v>0.17493839999999999</c:v>
                </c:pt>
              </c:numCache>
            </c:numRef>
          </c:yVal>
        </c:ser>
        <c:ser>
          <c:idx val="1"/>
          <c:order val="2"/>
          <c:tx>
            <c:v>Trains 150 ns</c:v>
          </c:tx>
          <c:spPr>
            <a:ln>
              <a:solidFill>
                <a:srgbClr val="00FF00"/>
              </a:solidFill>
            </a:ln>
          </c:spPr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9900"/>
                </a:solidFill>
              </a:ln>
            </c:spPr>
          </c:marker>
          <c:xVal>
            <c:numRef>
              <c:f>'Lumi Protons 2010'!$B$32:$B$44</c:f>
              <c:numCache>
                <c:formatCode>[$-409]dd\-mmm\-yy;@</c:formatCode>
                <c:ptCount val="13"/>
                <c:pt idx="0">
                  <c:v>40443</c:v>
                </c:pt>
                <c:pt idx="1">
                  <c:v>40444</c:v>
                </c:pt>
                <c:pt idx="2">
                  <c:v>40446</c:v>
                </c:pt>
                <c:pt idx="3">
                  <c:v>40451</c:v>
                </c:pt>
                <c:pt idx="4">
                  <c:v>40454</c:v>
                </c:pt>
                <c:pt idx="5">
                  <c:v>40455</c:v>
                </c:pt>
                <c:pt idx="6">
                  <c:v>40459</c:v>
                </c:pt>
                <c:pt idx="7">
                  <c:v>40462</c:v>
                </c:pt>
                <c:pt idx="8">
                  <c:v>40465</c:v>
                </c:pt>
                <c:pt idx="9">
                  <c:v>40467</c:v>
                </c:pt>
                <c:pt idx="10">
                  <c:v>40469</c:v>
                </c:pt>
                <c:pt idx="11">
                  <c:v>40475</c:v>
                </c:pt>
                <c:pt idx="12">
                  <c:v>40475</c:v>
                </c:pt>
              </c:numCache>
            </c:numRef>
          </c:xVal>
          <c:yVal>
            <c:numRef>
              <c:f>'Lumi Protons 2010'!$M$32:$M$44</c:f>
              <c:numCache>
                <c:formatCode>0.000</c:formatCode>
                <c:ptCount val="13"/>
                <c:pt idx="0">
                  <c:v>1.34568</c:v>
                </c:pt>
                <c:pt idx="1">
                  <c:v>3.2969160000000004</c:v>
                </c:pt>
                <c:pt idx="2">
                  <c:v>6.1228440000000006</c:v>
                </c:pt>
                <c:pt idx="3">
                  <c:v>8.5226399999999991</c:v>
                </c:pt>
                <c:pt idx="4">
                  <c:v>9.7158096</c:v>
                </c:pt>
                <c:pt idx="5">
                  <c:v>11.214</c:v>
                </c:pt>
                <c:pt idx="6">
                  <c:v>14.322520800000001</c:v>
                </c:pt>
                <c:pt idx="7">
                  <c:v>14.600628</c:v>
                </c:pt>
                <c:pt idx="8">
                  <c:v>14.878735199999999</c:v>
                </c:pt>
                <c:pt idx="9">
                  <c:v>19.7680392</c:v>
                </c:pt>
                <c:pt idx="10">
                  <c:v>20.117916000000001</c:v>
                </c:pt>
                <c:pt idx="11">
                  <c:v>20.467792799999998</c:v>
                </c:pt>
                <c:pt idx="12">
                  <c:v>24.347836799999996</c:v>
                </c:pt>
              </c:numCache>
            </c:numRef>
          </c:yVal>
        </c:ser>
        <c:ser>
          <c:idx val="3"/>
          <c:order val="3"/>
          <c:tx>
            <c:v>Plan LMC 17-Feb-2010</c:v>
          </c:tx>
          <c:spPr>
            <a:ln>
              <a:solidFill>
                <a:srgbClr val="7030A0"/>
              </a:solidFill>
            </a:ln>
          </c:spPr>
          <c:marker>
            <c:symbol val="x"/>
            <c:size val="9"/>
            <c:spPr>
              <a:noFill/>
            </c:spPr>
          </c:marker>
          <c:xVal>
            <c:numRef>
              <c:f>'Plan-achieved'!$B$5:$B$21</c:f>
              <c:numCache>
                <c:formatCode>[$-409]dd\-mmm\-yy;@</c:formatCode>
                <c:ptCount val="17"/>
                <c:pt idx="0">
                  <c:v>40272</c:v>
                </c:pt>
                <c:pt idx="1">
                  <c:v>40287</c:v>
                </c:pt>
                <c:pt idx="2">
                  <c:v>40300</c:v>
                </c:pt>
                <c:pt idx="3">
                  <c:v>40313</c:v>
                </c:pt>
                <c:pt idx="4">
                  <c:v>40328</c:v>
                </c:pt>
                <c:pt idx="5">
                  <c:v>40344</c:v>
                </c:pt>
                <c:pt idx="6">
                  <c:v>40359</c:v>
                </c:pt>
                <c:pt idx="7">
                  <c:v>40374</c:v>
                </c:pt>
                <c:pt idx="8">
                  <c:v>40389</c:v>
                </c:pt>
                <c:pt idx="9">
                  <c:v>40405</c:v>
                </c:pt>
                <c:pt idx="10">
                  <c:v>40420</c:v>
                </c:pt>
                <c:pt idx="11">
                  <c:v>40436</c:v>
                </c:pt>
                <c:pt idx="12">
                  <c:v>40451</c:v>
                </c:pt>
                <c:pt idx="13">
                  <c:v>40466</c:v>
                </c:pt>
                <c:pt idx="14">
                  <c:v>40481</c:v>
                </c:pt>
                <c:pt idx="15">
                  <c:v>40497</c:v>
                </c:pt>
                <c:pt idx="16">
                  <c:v>40512</c:v>
                </c:pt>
              </c:numCache>
            </c:numRef>
          </c:xVal>
          <c:yVal>
            <c:numRef>
              <c:f>'Plan-achieved'!$E$5:$E$21</c:f>
              <c:numCache>
                <c:formatCode>0.0</c:formatCode>
                <c:ptCount val="17"/>
                <c:pt idx="0">
                  <c:v>11.214</c:v>
                </c:pt>
                <c:pt idx="1">
                  <c:v>22.428000000000001</c:v>
                </c:pt>
                <c:pt idx="2">
                  <c:v>44.856000000000002</c:v>
                </c:pt>
                <c:pt idx="3">
                  <c:v>112.14</c:v>
                </c:pt>
                <c:pt idx="4">
                  <c:v>224.28</c:v>
                </c:pt>
                <c:pt idx="5">
                  <c:v>448.56</c:v>
                </c:pt>
                <c:pt idx="6">
                  <c:v>897.12</c:v>
                </c:pt>
                <c:pt idx="7">
                  <c:v>1205.5050000000001</c:v>
                </c:pt>
                <c:pt idx="8">
                  <c:v>2153.0880000000002</c:v>
                </c:pt>
                <c:pt idx="9">
                  <c:v>4306.1760000000004</c:v>
                </c:pt>
                <c:pt idx="10">
                  <c:v>6459.2640000000001</c:v>
                </c:pt>
                <c:pt idx="11">
                  <c:v>8791.7759999999998</c:v>
                </c:pt>
                <c:pt idx="12">
                  <c:v>10765.44</c:v>
                </c:pt>
                <c:pt idx="13">
                  <c:v>12918.528</c:v>
                </c:pt>
                <c:pt idx="14">
                  <c:v>15071.616</c:v>
                </c:pt>
                <c:pt idx="15">
                  <c:v>17224.704000000002</c:v>
                </c:pt>
                <c:pt idx="16">
                  <c:v>19377.792000000001</c:v>
                </c:pt>
              </c:numCache>
            </c:numRef>
          </c:yVal>
        </c:ser>
        <c:axId val="103626240"/>
        <c:axId val="103628160"/>
      </c:scatterChart>
      <c:valAx>
        <c:axId val="103626240"/>
        <c:scaling>
          <c:orientation val="minMax"/>
          <c:max val="40520"/>
          <c:min val="40252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3628160"/>
        <c:crosses val="autoZero"/>
        <c:crossBetween val="midCat"/>
      </c:valAx>
      <c:valAx>
        <c:axId val="103628160"/>
        <c:scaling>
          <c:logBase val="10"/>
          <c:orientation val="minMax"/>
          <c:max val="40000"/>
          <c:min val="1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Stored</a:t>
                </a:r>
                <a:r>
                  <a:rPr lang="en-US" baseline="0"/>
                  <a:t> Energy</a:t>
                </a:r>
                <a:r>
                  <a:rPr lang="en-US"/>
                  <a:t> (kJ)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3626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931034482758559"/>
          <c:y val="0.54751131221719462"/>
          <c:w val="0.28294488188978251"/>
          <c:h val="0.21435564898279141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run 2010 : plan</a:t>
            </a:r>
            <a:r>
              <a:rPr lang="en-US" sz="2400" b="1" baseline="0">
                <a:solidFill>
                  <a:srgbClr val="0070C0"/>
                </a:solidFill>
              </a:rPr>
              <a:t> versus achieved</a:t>
            </a:r>
            <a:endParaRPr lang="en-US" sz="2400" b="1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9184143361390171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73"/>
          <c:y val="0.14479638009050938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High int. bunches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2010'!$B$18:$B$31</c:f>
              <c:numCache>
                <c:formatCode>[$-409]dd\-mmm\-yy;@</c:formatCode>
                <c:ptCount val="14"/>
                <c:pt idx="0">
                  <c:v>40349</c:v>
                </c:pt>
                <c:pt idx="1">
                  <c:v>40358</c:v>
                </c:pt>
                <c:pt idx="2">
                  <c:v>40361</c:v>
                </c:pt>
                <c:pt idx="3">
                  <c:v>40371</c:v>
                </c:pt>
                <c:pt idx="4">
                  <c:v>40372</c:v>
                </c:pt>
                <c:pt idx="5">
                  <c:v>40377</c:v>
                </c:pt>
                <c:pt idx="6">
                  <c:v>40388</c:v>
                </c:pt>
                <c:pt idx="7">
                  <c:v>40394</c:v>
                </c:pt>
                <c:pt idx="8">
                  <c:v>40397</c:v>
                </c:pt>
                <c:pt idx="9">
                  <c:v>40398</c:v>
                </c:pt>
                <c:pt idx="10">
                  <c:v>40410</c:v>
                </c:pt>
                <c:pt idx="11">
                  <c:v>40413</c:v>
                </c:pt>
                <c:pt idx="12">
                  <c:v>40414</c:v>
                </c:pt>
                <c:pt idx="13">
                  <c:v>40416</c:v>
                </c:pt>
              </c:numCache>
            </c:numRef>
          </c:xVal>
          <c:yVal>
            <c:numRef>
              <c:f>'Lumi Protons 2010'!$M$18:$M$31</c:f>
              <c:numCache>
                <c:formatCode>0.000</c:formatCode>
                <c:ptCount val="14"/>
                <c:pt idx="0">
                  <c:v>0.11214</c:v>
                </c:pt>
                <c:pt idx="1">
                  <c:v>0.16821</c:v>
                </c:pt>
                <c:pt idx="2">
                  <c:v>0.370062</c:v>
                </c:pt>
                <c:pt idx="3">
                  <c:v>0.45416700000000004</c:v>
                </c:pt>
                <c:pt idx="4">
                  <c:v>0.60555600000000009</c:v>
                </c:pt>
                <c:pt idx="5">
                  <c:v>0.65601900000000002</c:v>
                </c:pt>
                <c:pt idx="6">
                  <c:v>1.1214000000000002</c:v>
                </c:pt>
                <c:pt idx="7">
                  <c:v>1.2615750000000001</c:v>
                </c:pt>
                <c:pt idx="8">
                  <c:v>1.2615750000000001</c:v>
                </c:pt>
                <c:pt idx="9">
                  <c:v>1.3316625000000002</c:v>
                </c:pt>
                <c:pt idx="10">
                  <c:v>2.4222240000000004</c:v>
                </c:pt>
                <c:pt idx="11">
                  <c:v>2.6106191999999995</c:v>
                </c:pt>
                <c:pt idx="12">
                  <c:v>2.8035000000000001</c:v>
                </c:pt>
                <c:pt idx="13">
                  <c:v>3.0042306000000005</c:v>
                </c:pt>
              </c:numCache>
            </c:numRef>
          </c:yVal>
        </c:ser>
        <c:ser>
          <c:idx val="0"/>
          <c:order val="1"/>
          <c:tx>
            <c:v>Low int. bunches</c:v>
          </c:tx>
          <c:spPr>
            <a:ln>
              <a:solidFill>
                <a:srgbClr val="0000FF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'Lumi Protons 2010'!$B$11:$B$17</c:f>
              <c:numCache>
                <c:formatCode>[$-409]dd\-mmm\-yy;@</c:formatCode>
                <c:ptCount val="7"/>
                <c:pt idx="0">
                  <c:v>40272</c:v>
                </c:pt>
                <c:pt idx="1">
                  <c:v>40287</c:v>
                </c:pt>
                <c:pt idx="2">
                  <c:v>40306</c:v>
                </c:pt>
                <c:pt idx="3">
                  <c:v>40312</c:v>
                </c:pt>
                <c:pt idx="4">
                  <c:v>40313</c:v>
                </c:pt>
                <c:pt idx="5">
                  <c:v>40322</c:v>
                </c:pt>
                <c:pt idx="6">
                  <c:v>40323</c:v>
                </c:pt>
              </c:numCache>
            </c:numRef>
          </c:xVal>
          <c:yVal>
            <c:numRef>
              <c:f>'Lumi Protons 2010'!$M$11:$M$17</c:f>
              <c:numCache>
                <c:formatCode>0.000</c:formatCode>
                <c:ptCount val="7"/>
                <c:pt idx="0">
                  <c:v>1.1214E-2</c:v>
                </c:pt>
                <c:pt idx="1">
                  <c:v>2.0185200000000004E-2</c:v>
                </c:pt>
                <c:pt idx="2">
                  <c:v>2.2428E-2</c:v>
                </c:pt>
                <c:pt idx="3">
                  <c:v>4.9341599999999999E-2</c:v>
                </c:pt>
                <c:pt idx="4">
                  <c:v>7.0648200000000022E-2</c:v>
                </c:pt>
                <c:pt idx="5">
                  <c:v>0.15307110000000002</c:v>
                </c:pt>
                <c:pt idx="6">
                  <c:v>0.17493839999999999</c:v>
                </c:pt>
              </c:numCache>
            </c:numRef>
          </c:yVal>
        </c:ser>
        <c:ser>
          <c:idx val="1"/>
          <c:order val="2"/>
          <c:tx>
            <c:v>Trains 150 ns</c:v>
          </c:tx>
          <c:spPr>
            <a:ln>
              <a:solidFill>
                <a:srgbClr val="00FF00"/>
              </a:solidFill>
            </a:ln>
          </c:spPr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9900"/>
                </a:solidFill>
              </a:ln>
            </c:spPr>
          </c:marker>
          <c:xVal>
            <c:numRef>
              <c:f>'Lumi Protons 2010'!$B$32:$B$44</c:f>
              <c:numCache>
                <c:formatCode>[$-409]dd\-mmm\-yy;@</c:formatCode>
                <c:ptCount val="13"/>
                <c:pt idx="0">
                  <c:v>40443</c:v>
                </c:pt>
                <c:pt idx="1">
                  <c:v>40444</c:v>
                </c:pt>
                <c:pt idx="2">
                  <c:v>40446</c:v>
                </c:pt>
                <c:pt idx="3">
                  <c:v>40451</c:v>
                </c:pt>
                <c:pt idx="4">
                  <c:v>40454</c:v>
                </c:pt>
                <c:pt idx="5">
                  <c:v>40455</c:v>
                </c:pt>
                <c:pt idx="6">
                  <c:v>40459</c:v>
                </c:pt>
                <c:pt idx="7">
                  <c:v>40462</c:v>
                </c:pt>
                <c:pt idx="8">
                  <c:v>40465</c:v>
                </c:pt>
                <c:pt idx="9">
                  <c:v>40467</c:v>
                </c:pt>
                <c:pt idx="10">
                  <c:v>40469</c:v>
                </c:pt>
                <c:pt idx="11">
                  <c:v>40475</c:v>
                </c:pt>
                <c:pt idx="12">
                  <c:v>40475</c:v>
                </c:pt>
              </c:numCache>
            </c:numRef>
          </c:xVal>
          <c:yVal>
            <c:numRef>
              <c:f>'Lumi Protons 2010'!$M$32:$M$44</c:f>
              <c:numCache>
                <c:formatCode>0.000</c:formatCode>
                <c:ptCount val="13"/>
                <c:pt idx="0">
                  <c:v>1.34568</c:v>
                </c:pt>
                <c:pt idx="1">
                  <c:v>3.2969160000000004</c:v>
                </c:pt>
                <c:pt idx="2">
                  <c:v>6.1228440000000006</c:v>
                </c:pt>
                <c:pt idx="3">
                  <c:v>8.5226399999999991</c:v>
                </c:pt>
                <c:pt idx="4">
                  <c:v>9.7158096</c:v>
                </c:pt>
                <c:pt idx="5">
                  <c:v>11.214</c:v>
                </c:pt>
                <c:pt idx="6">
                  <c:v>14.322520800000001</c:v>
                </c:pt>
                <c:pt idx="7">
                  <c:v>14.600628</c:v>
                </c:pt>
                <c:pt idx="8">
                  <c:v>14.878735199999999</c:v>
                </c:pt>
                <c:pt idx="9">
                  <c:v>19.7680392</c:v>
                </c:pt>
                <c:pt idx="10">
                  <c:v>20.117916000000001</c:v>
                </c:pt>
                <c:pt idx="11">
                  <c:v>20.467792799999998</c:v>
                </c:pt>
                <c:pt idx="12">
                  <c:v>24.347836799999996</c:v>
                </c:pt>
              </c:numCache>
            </c:numRef>
          </c:yVal>
        </c:ser>
        <c:ser>
          <c:idx val="3"/>
          <c:order val="3"/>
          <c:tx>
            <c:v>Plan LMC 17-Feb-2010</c:v>
          </c:tx>
          <c:spPr>
            <a:ln>
              <a:solidFill>
                <a:srgbClr val="7030A0"/>
              </a:solidFill>
            </a:ln>
          </c:spPr>
          <c:marker>
            <c:symbol val="x"/>
            <c:size val="9"/>
            <c:spPr>
              <a:noFill/>
            </c:spPr>
          </c:marker>
          <c:xVal>
            <c:numRef>
              <c:f>'Plan-achieved'!$B$5:$B$21</c:f>
              <c:numCache>
                <c:formatCode>[$-409]dd\-mmm\-yy;@</c:formatCode>
                <c:ptCount val="17"/>
                <c:pt idx="0">
                  <c:v>40272</c:v>
                </c:pt>
                <c:pt idx="1">
                  <c:v>40287</c:v>
                </c:pt>
                <c:pt idx="2">
                  <c:v>40300</c:v>
                </c:pt>
                <c:pt idx="3">
                  <c:v>40313</c:v>
                </c:pt>
                <c:pt idx="4">
                  <c:v>40328</c:v>
                </c:pt>
                <c:pt idx="5">
                  <c:v>40344</c:v>
                </c:pt>
                <c:pt idx="6">
                  <c:v>40359</c:v>
                </c:pt>
                <c:pt idx="7">
                  <c:v>40374</c:v>
                </c:pt>
                <c:pt idx="8">
                  <c:v>40389</c:v>
                </c:pt>
                <c:pt idx="9">
                  <c:v>40405</c:v>
                </c:pt>
                <c:pt idx="10">
                  <c:v>40420</c:v>
                </c:pt>
                <c:pt idx="11">
                  <c:v>40436</c:v>
                </c:pt>
                <c:pt idx="12">
                  <c:v>40451</c:v>
                </c:pt>
                <c:pt idx="13">
                  <c:v>40466</c:v>
                </c:pt>
                <c:pt idx="14">
                  <c:v>40481</c:v>
                </c:pt>
                <c:pt idx="15">
                  <c:v>40497</c:v>
                </c:pt>
                <c:pt idx="16">
                  <c:v>40512</c:v>
                </c:pt>
              </c:numCache>
            </c:numRef>
          </c:xVal>
          <c:yVal>
            <c:numRef>
              <c:f>'Plan-achieved'!$E$5:$E$21</c:f>
              <c:numCache>
                <c:formatCode>0.0</c:formatCode>
                <c:ptCount val="17"/>
                <c:pt idx="0">
                  <c:v>11.214</c:v>
                </c:pt>
                <c:pt idx="1">
                  <c:v>22.428000000000001</c:v>
                </c:pt>
                <c:pt idx="2">
                  <c:v>44.856000000000002</c:v>
                </c:pt>
                <c:pt idx="3">
                  <c:v>112.14</c:v>
                </c:pt>
                <c:pt idx="4">
                  <c:v>224.28</c:v>
                </c:pt>
                <c:pt idx="5">
                  <c:v>448.56</c:v>
                </c:pt>
                <c:pt idx="6">
                  <c:v>897.12</c:v>
                </c:pt>
                <c:pt idx="7">
                  <c:v>1205.5050000000001</c:v>
                </c:pt>
                <c:pt idx="8">
                  <c:v>2153.0880000000002</c:v>
                </c:pt>
                <c:pt idx="9">
                  <c:v>4306.1760000000004</c:v>
                </c:pt>
                <c:pt idx="10">
                  <c:v>6459.2640000000001</c:v>
                </c:pt>
                <c:pt idx="11">
                  <c:v>8791.7759999999998</c:v>
                </c:pt>
                <c:pt idx="12">
                  <c:v>10765.44</c:v>
                </c:pt>
                <c:pt idx="13">
                  <c:v>12918.528</c:v>
                </c:pt>
                <c:pt idx="14">
                  <c:v>15071.616</c:v>
                </c:pt>
                <c:pt idx="15">
                  <c:v>17224.704000000002</c:v>
                </c:pt>
                <c:pt idx="16">
                  <c:v>19377.792000000001</c:v>
                </c:pt>
              </c:numCache>
            </c:numRef>
          </c:yVal>
        </c:ser>
        <c:axId val="103749120"/>
        <c:axId val="103751040"/>
      </c:scatterChart>
      <c:valAx>
        <c:axId val="103749120"/>
        <c:scaling>
          <c:orientation val="minMax"/>
          <c:max val="40520"/>
          <c:min val="40252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3751040"/>
        <c:crosses val="autoZero"/>
        <c:crossBetween val="midCat"/>
      </c:valAx>
      <c:valAx>
        <c:axId val="103751040"/>
        <c:scaling>
          <c:orientation val="minMax"/>
          <c:max val="28000"/>
          <c:min val="0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Stored</a:t>
                </a:r>
                <a:r>
                  <a:rPr lang="en-US" baseline="0"/>
                  <a:t> Energy</a:t>
                </a:r>
                <a:r>
                  <a:rPr lang="en-US"/>
                  <a:t> (kJ)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3749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103448275862774"/>
          <c:y val="0.17873303167421309"/>
          <c:w val="0.28294488188978273"/>
          <c:h val="0.21435564898279141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run 2010</a:t>
            </a:r>
          </a:p>
        </c:rich>
      </c:tx>
      <c:layout>
        <c:manualLayout>
          <c:xMode val="edge"/>
          <c:yMode val="edge"/>
          <c:x val="0.43862068965518841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45"/>
          <c:y val="0.14479638009050919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High int. bunches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2010'!$B$18:$B$31</c:f>
              <c:numCache>
                <c:formatCode>[$-409]dd\-mmm\-yy;@</c:formatCode>
                <c:ptCount val="14"/>
                <c:pt idx="0">
                  <c:v>40349</c:v>
                </c:pt>
                <c:pt idx="1">
                  <c:v>40358</c:v>
                </c:pt>
                <c:pt idx="2">
                  <c:v>40361</c:v>
                </c:pt>
                <c:pt idx="3">
                  <c:v>40371</c:v>
                </c:pt>
                <c:pt idx="4">
                  <c:v>40372</c:v>
                </c:pt>
                <c:pt idx="5">
                  <c:v>40377</c:v>
                </c:pt>
                <c:pt idx="6">
                  <c:v>40388</c:v>
                </c:pt>
                <c:pt idx="7">
                  <c:v>40394</c:v>
                </c:pt>
                <c:pt idx="8">
                  <c:v>40397</c:v>
                </c:pt>
                <c:pt idx="9">
                  <c:v>40398</c:v>
                </c:pt>
                <c:pt idx="10">
                  <c:v>40410</c:v>
                </c:pt>
                <c:pt idx="11">
                  <c:v>40413</c:v>
                </c:pt>
                <c:pt idx="12">
                  <c:v>40414</c:v>
                </c:pt>
                <c:pt idx="13">
                  <c:v>40416</c:v>
                </c:pt>
              </c:numCache>
            </c:numRef>
          </c:xVal>
          <c:yVal>
            <c:numRef>
              <c:f>'Lumi Protons 2010'!$M$18:$M$31</c:f>
              <c:numCache>
                <c:formatCode>0.000</c:formatCode>
                <c:ptCount val="14"/>
                <c:pt idx="0">
                  <c:v>0.11214</c:v>
                </c:pt>
                <c:pt idx="1">
                  <c:v>0.16821</c:v>
                </c:pt>
                <c:pt idx="2">
                  <c:v>0.370062</c:v>
                </c:pt>
                <c:pt idx="3">
                  <c:v>0.45416700000000004</c:v>
                </c:pt>
                <c:pt idx="4">
                  <c:v>0.60555600000000009</c:v>
                </c:pt>
                <c:pt idx="5">
                  <c:v>0.65601900000000002</c:v>
                </c:pt>
                <c:pt idx="6">
                  <c:v>1.1214000000000002</c:v>
                </c:pt>
                <c:pt idx="7">
                  <c:v>1.2615750000000001</c:v>
                </c:pt>
                <c:pt idx="8">
                  <c:v>1.2615750000000001</c:v>
                </c:pt>
                <c:pt idx="9">
                  <c:v>1.3316625000000002</c:v>
                </c:pt>
                <c:pt idx="10">
                  <c:v>2.4222240000000004</c:v>
                </c:pt>
                <c:pt idx="11">
                  <c:v>2.6106191999999995</c:v>
                </c:pt>
                <c:pt idx="12">
                  <c:v>2.8035000000000001</c:v>
                </c:pt>
                <c:pt idx="13">
                  <c:v>3.0042306000000005</c:v>
                </c:pt>
              </c:numCache>
            </c:numRef>
          </c:yVal>
        </c:ser>
        <c:ser>
          <c:idx val="0"/>
          <c:order val="1"/>
          <c:tx>
            <c:v>Low int. bunches</c:v>
          </c:tx>
          <c:spPr>
            <a:ln>
              <a:solidFill>
                <a:srgbClr val="0000FF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'Lumi Protons 2010'!$B$11:$B$17</c:f>
              <c:numCache>
                <c:formatCode>[$-409]dd\-mmm\-yy;@</c:formatCode>
                <c:ptCount val="7"/>
                <c:pt idx="0">
                  <c:v>40272</c:v>
                </c:pt>
                <c:pt idx="1">
                  <c:v>40287</c:v>
                </c:pt>
                <c:pt idx="2">
                  <c:v>40306</c:v>
                </c:pt>
                <c:pt idx="3">
                  <c:v>40312</c:v>
                </c:pt>
                <c:pt idx="4">
                  <c:v>40313</c:v>
                </c:pt>
                <c:pt idx="5">
                  <c:v>40322</c:v>
                </c:pt>
                <c:pt idx="6">
                  <c:v>40323</c:v>
                </c:pt>
              </c:numCache>
            </c:numRef>
          </c:xVal>
          <c:yVal>
            <c:numRef>
              <c:f>'Lumi Protons 2010'!$M$11:$M$17</c:f>
              <c:numCache>
                <c:formatCode>0.000</c:formatCode>
                <c:ptCount val="7"/>
                <c:pt idx="0">
                  <c:v>1.1214E-2</c:v>
                </c:pt>
                <c:pt idx="1">
                  <c:v>2.0185200000000004E-2</c:v>
                </c:pt>
                <c:pt idx="2">
                  <c:v>2.2428E-2</c:v>
                </c:pt>
                <c:pt idx="3">
                  <c:v>4.9341599999999999E-2</c:v>
                </c:pt>
                <c:pt idx="4">
                  <c:v>7.0648200000000022E-2</c:v>
                </c:pt>
                <c:pt idx="5">
                  <c:v>0.15307110000000002</c:v>
                </c:pt>
                <c:pt idx="6">
                  <c:v>0.17493839999999999</c:v>
                </c:pt>
              </c:numCache>
            </c:numRef>
          </c:yVal>
        </c:ser>
        <c:ser>
          <c:idx val="1"/>
          <c:order val="2"/>
          <c:tx>
            <c:v>Trains 150 ns</c:v>
          </c:tx>
          <c:spPr>
            <a:ln>
              <a:solidFill>
                <a:srgbClr val="00FF00"/>
              </a:solidFill>
            </a:ln>
          </c:spPr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9900"/>
                </a:solidFill>
              </a:ln>
            </c:spPr>
          </c:marker>
          <c:xVal>
            <c:numRef>
              <c:f>'Lumi Protons 2010'!$B$32:$B$44</c:f>
              <c:numCache>
                <c:formatCode>[$-409]dd\-mmm\-yy;@</c:formatCode>
                <c:ptCount val="13"/>
                <c:pt idx="0">
                  <c:v>40443</c:v>
                </c:pt>
                <c:pt idx="1">
                  <c:v>40444</c:v>
                </c:pt>
                <c:pt idx="2">
                  <c:v>40446</c:v>
                </c:pt>
                <c:pt idx="3">
                  <c:v>40451</c:v>
                </c:pt>
                <c:pt idx="4">
                  <c:v>40454</c:v>
                </c:pt>
                <c:pt idx="5">
                  <c:v>40455</c:v>
                </c:pt>
                <c:pt idx="6">
                  <c:v>40459</c:v>
                </c:pt>
                <c:pt idx="7">
                  <c:v>40462</c:v>
                </c:pt>
                <c:pt idx="8">
                  <c:v>40465</c:v>
                </c:pt>
                <c:pt idx="9">
                  <c:v>40467</c:v>
                </c:pt>
                <c:pt idx="10">
                  <c:v>40469</c:v>
                </c:pt>
                <c:pt idx="11">
                  <c:v>40475</c:v>
                </c:pt>
                <c:pt idx="12">
                  <c:v>40475</c:v>
                </c:pt>
              </c:numCache>
            </c:numRef>
          </c:xVal>
          <c:yVal>
            <c:numRef>
              <c:f>'Lumi Protons 2010'!$M$32:$M$44</c:f>
              <c:numCache>
                <c:formatCode>0.000</c:formatCode>
                <c:ptCount val="13"/>
                <c:pt idx="0">
                  <c:v>1.34568</c:v>
                </c:pt>
                <c:pt idx="1">
                  <c:v>3.2969160000000004</c:v>
                </c:pt>
                <c:pt idx="2">
                  <c:v>6.1228440000000006</c:v>
                </c:pt>
                <c:pt idx="3">
                  <c:v>8.5226399999999991</c:v>
                </c:pt>
                <c:pt idx="4">
                  <c:v>9.7158096</c:v>
                </c:pt>
                <c:pt idx="5">
                  <c:v>11.214</c:v>
                </c:pt>
                <c:pt idx="6">
                  <c:v>14.322520800000001</c:v>
                </c:pt>
                <c:pt idx="7">
                  <c:v>14.600628</c:v>
                </c:pt>
                <c:pt idx="8">
                  <c:v>14.878735199999999</c:v>
                </c:pt>
                <c:pt idx="9">
                  <c:v>19.7680392</c:v>
                </c:pt>
                <c:pt idx="10">
                  <c:v>20.117916000000001</c:v>
                </c:pt>
                <c:pt idx="11">
                  <c:v>20.467792799999998</c:v>
                </c:pt>
                <c:pt idx="12">
                  <c:v>24.347836799999996</c:v>
                </c:pt>
              </c:numCache>
            </c:numRef>
          </c:yVal>
        </c:ser>
        <c:axId val="103933056"/>
        <c:axId val="103934976"/>
      </c:scatterChart>
      <c:valAx>
        <c:axId val="103933056"/>
        <c:scaling>
          <c:orientation val="minMax"/>
          <c:max val="40480"/>
          <c:min val="40252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3934976"/>
        <c:crossesAt val="1.0000000000000005E-2"/>
        <c:crossBetween val="midCat"/>
      </c:valAx>
      <c:valAx>
        <c:axId val="103934976"/>
        <c:scaling>
          <c:logBase val="10"/>
          <c:orientation val="minMax"/>
          <c:max val="40"/>
          <c:min val="1.0000000000000005E-2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Stored</a:t>
                </a:r>
                <a:r>
                  <a:rPr lang="en-US" baseline="0"/>
                  <a:t> Energy</a:t>
                </a:r>
                <a:r>
                  <a:rPr lang="en-US"/>
                  <a:t> (MJ)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3933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48275862068962"/>
          <c:y val="0.16968325791854519"/>
          <c:w val="0.23032419223459136"/>
          <c:h val="0.16076673673710137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run 2010</a:t>
            </a:r>
          </a:p>
        </c:rich>
      </c:tx>
      <c:layout>
        <c:manualLayout>
          <c:xMode val="edge"/>
          <c:yMode val="edge"/>
          <c:x val="0.43862068965518852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57"/>
          <c:y val="0.14479638009050927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High int. bunches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2010'!$B$18:$B$31</c:f>
              <c:numCache>
                <c:formatCode>[$-409]dd\-mmm\-yy;@</c:formatCode>
                <c:ptCount val="14"/>
                <c:pt idx="0">
                  <c:v>40349</c:v>
                </c:pt>
                <c:pt idx="1">
                  <c:v>40358</c:v>
                </c:pt>
                <c:pt idx="2">
                  <c:v>40361</c:v>
                </c:pt>
                <c:pt idx="3">
                  <c:v>40371</c:v>
                </c:pt>
                <c:pt idx="4">
                  <c:v>40372</c:v>
                </c:pt>
                <c:pt idx="5">
                  <c:v>40377</c:v>
                </c:pt>
                <c:pt idx="6">
                  <c:v>40388</c:v>
                </c:pt>
                <c:pt idx="7">
                  <c:v>40394</c:v>
                </c:pt>
                <c:pt idx="8">
                  <c:v>40397</c:v>
                </c:pt>
                <c:pt idx="9">
                  <c:v>40398</c:v>
                </c:pt>
                <c:pt idx="10">
                  <c:v>40410</c:v>
                </c:pt>
                <c:pt idx="11">
                  <c:v>40413</c:v>
                </c:pt>
                <c:pt idx="12">
                  <c:v>40414</c:v>
                </c:pt>
                <c:pt idx="13">
                  <c:v>40416</c:v>
                </c:pt>
              </c:numCache>
            </c:numRef>
          </c:xVal>
          <c:yVal>
            <c:numRef>
              <c:f>'Lumi Protons 2010'!$K$18:$K$31</c:f>
              <c:numCache>
                <c:formatCode>0.00E+00</c:formatCode>
                <c:ptCount val="14"/>
                <c:pt idx="0">
                  <c:v>2.3000000000000001E+29</c:v>
                </c:pt>
                <c:pt idx="1">
                  <c:v>5.0000000000000001E+29</c:v>
                </c:pt>
                <c:pt idx="2">
                  <c:v>1.05E+30</c:v>
                </c:pt>
                <c:pt idx="3">
                  <c:v>8.8000000000000005E+29</c:v>
                </c:pt>
                <c:pt idx="4">
                  <c:v>1.3999999999999999E+30</c:v>
                </c:pt>
                <c:pt idx="5">
                  <c:v>1.5999999999999999E+30</c:v>
                </c:pt>
                <c:pt idx="6">
                  <c:v>2.5999999999999999E+30</c:v>
                </c:pt>
                <c:pt idx="7">
                  <c:v>2.9999999999999998E+30</c:v>
                </c:pt>
                <c:pt idx="8">
                  <c:v>3.1999999999999997E+30</c:v>
                </c:pt>
                <c:pt idx="9">
                  <c:v>4.0000000000000001E+30</c:v>
                </c:pt>
                <c:pt idx="10">
                  <c:v>6.5E+30</c:v>
                </c:pt>
                <c:pt idx="11">
                  <c:v>9.5000000000000003E+30</c:v>
                </c:pt>
                <c:pt idx="12">
                  <c:v>9.9999999999999996E+30</c:v>
                </c:pt>
                <c:pt idx="13">
                  <c:v>1.0499999999999999E+31</c:v>
                </c:pt>
              </c:numCache>
            </c:numRef>
          </c:yVal>
        </c:ser>
        <c:ser>
          <c:idx val="0"/>
          <c:order val="1"/>
          <c:tx>
            <c:v>Low int. bunches</c:v>
          </c:tx>
          <c:spPr>
            <a:ln>
              <a:solidFill>
                <a:srgbClr val="0000FF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'Lumi Protons 2010'!$B$11:$B$17</c:f>
              <c:numCache>
                <c:formatCode>[$-409]dd\-mmm\-yy;@</c:formatCode>
                <c:ptCount val="7"/>
                <c:pt idx="0">
                  <c:v>40272</c:v>
                </c:pt>
                <c:pt idx="1">
                  <c:v>40287</c:v>
                </c:pt>
                <c:pt idx="2">
                  <c:v>40306</c:v>
                </c:pt>
                <c:pt idx="3">
                  <c:v>40312</c:v>
                </c:pt>
                <c:pt idx="4">
                  <c:v>40313</c:v>
                </c:pt>
                <c:pt idx="5">
                  <c:v>40322</c:v>
                </c:pt>
                <c:pt idx="6">
                  <c:v>40323</c:v>
                </c:pt>
              </c:numCache>
            </c:numRef>
          </c:xVal>
          <c:yVal>
            <c:numRef>
              <c:f>'Lumi Protons 2010'!$K$11:$K$17</c:f>
              <c:numCache>
                <c:formatCode>0.00E+00</c:formatCode>
                <c:ptCount val="7"/>
                <c:pt idx="0">
                  <c:v>1E+27</c:v>
                </c:pt>
                <c:pt idx="1">
                  <c:v>1.3000000000000001E+28</c:v>
                </c:pt>
                <c:pt idx="2">
                  <c:v>1.9999999999999999E+28</c:v>
                </c:pt>
                <c:pt idx="3">
                  <c:v>3.3E+28</c:v>
                </c:pt>
                <c:pt idx="4">
                  <c:v>6.0000000000000002E+28</c:v>
                </c:pt>
                <c:pt idx="5">
                  <c:v>1.5E+29</c:v>
                </c:pt>
                <c:pt idx="6">
                  <c:v>1.9999999999999998E+29</c:v>
                </c:pt>
              </c:numCache>
            </c:numRef>
          </c:yVal>
        </c:ser>
        <c:ser>
          <c:idx val="1"/>
          <c:order val="2"/>
          <c:tx>
            <c:v>Trains 150 ns</c:v>
          </c:tx>
          <c:spPr>
            <a:ln>
              <a:solidFill>
                <a:srgbClr val="00FF00"/>
              </a:solidFill>
            </a:ln>
          </c:spPr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9900"/>
                </a:solidFill>
              </a:ln>
            </c:spPr>
          </c:marker>
          <c:xVal>
            <c:numRef>
              <c:f>'Lumi Protons 2010'!$B$32:$B$44</c:f>
              <c:numCache>
                <c:formatCode>[$-409]dd\-mmm\-yy;@</c:formatCode>
                <c:ptCount val="13"/>
                <c:pt idx="0">
                  <c:v>40443</c:v>
                </c:pt>
                <c:pt idx="1">
                  <c:v>40444</c:v>
                </c:pt>
                <c:pt idx="2">
                  <c:v>40446</c:v>
                </c:pt>
                <c:pt idx="3">
                  <c:v>40451</c:v>
                </c:pt>
                <c:pt idx="4">
                  <c:v>40454</c:v>
                </c:pt>
                <c:pt idx="5">
                  <c:v>40455</c:v>
                </c:pt>
                <c:pt idx="6">
                  <c:v>40459</c:v>
                </c:pt>
                <c:pt idx="7">
                  <c:v>40462</c:v>
                </c:pt>
                <c:pt idx="8">
                  <c:v>40465</c:v>
                </c:pt>
                <c:pt idx="9">
                  <c:v>40467</c:v>
                </c:pt>
                <c:pt idx="10">
                  <c:v>40469</c:v>
                </c:pt>
                <c:pt idx="11">
                  <c:v>40475</c:v>
                </c:pt>
                <c:pt idx="12">
                  <c:v>40475</c:v>
                </c:pt>
              </c:numCache>
            </c:numRef>
          </c:xVal>
          <c:yVal>
            <c:numRef>
              <c:f>'Lumi Protons 2010'!$K$32:$K$44</c:f>
              <c:numCache>
                <c:formatCode>0.00E+00</c:formatCode>
                <c:ptCount val="13"/>
                <c:pt idx="0">
                  <c:v>4.5999999999999999E+30</c:v>
                </c:pt>
                <c:pt idx="1">
                  <c:v>1.99E+31</c:v>
                </c:pt>
                <c:pt idx="2">
                  <c:v>3.3999999999999998E+31</c:v>
                </c:pt>
                <c:pt idx="3">
                  <c:v>4.7999999999999996E+31</c:v>
                </c:pt>
                <c:pt idx="4">
                  <c:v>5.0999999999999997E+31</c:v>
                </c:pt>
                <c:pt idx="5">
                  <c:v>6.7999999999999996E+31</c:v>
                </c:pt>
                <c:pt idx="6">
                  <c:v>8.8000000000000004E+31</c:v>
                </c:pt>
                <c:pt idx="7">
                  <c:v>9.4000000000000005E+31</c:v>
                </c:pt>
                <c:pt idx="8">
                  <c:v>1.03E+32</c:v>
                </c:pt>
                <c:pt idx="9">
                  <c:v>1.3099999999999999E+32</c:v>
                </c:pt>
                <c:pt idx="10">
                  <c:v>1.45E+32</c:v>
                </c:pt>
                <c:pt idx="11">
                  <c:v>1.5200000000000001E+32</c:v>
                </c:pt>
                <c:pt idx="12">
                  <c:v>2.0499999999999999E+32</c:v>
                </c:pt>
              </c:numCache>
            </c:numRef>
          </c:yVal>
        </c:ser>
        <c:axId val="103842176"/>
        <c:axId val="103844096"/>
      </c:scatterChart>
      <c:valAx>
        <c:axId val="103842176"/>
        <c:scaling>
          <c:orientation val="minMax"/>
          <c:max val="40480"/>
          <c:min val="40252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3844096"/>
        <c:crossesAt val="1E+26"/>
        <c:crossBetween val="midCat"/>
      </c:valAx>
      <c:valAx>
        <c:axId val="103844096"/>
        <c:scaling>
          <c:logBase val="10"/>
          <c:orientation val="minMax"/>
          <c:max val="4.0000000000000002E+32"/>
          <c:min val="1E+26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Luminosity (cm-2s-1)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3842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75862068965517"/>
          <c:y val="0.19004524886877841"/>
          <c:w val="0.23032419223459136"/>
          <c:h val="0.16076673673710137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</a:t>
            </a:r>
            <a:r>
              <a:rPr lang="en-US" sz="2400" b="1" baseline="0">
                <a:solidFill>
                  <a:srgbClr val="0070C0"/>
                </a:solidFill>
              </a:rPr>
              <a:t> </a:t>
            </a:r>
            <a:r>
              <a:rPr lang="en-US" sz="2400" b="1">
                <a:solidFill>
                  <a:srgbClr val="0070C0"/>
                </a:solidFill>
              </a:rPr>
              <a:t>2010-2012</a:t>
            </a:r>
          </a:p>
        </c:rich>
      </c:tx>
      <c:layout>
        <c:manualLayout>
          <c:xMode val="edge"/>
          <c:yMode val="edge"/>
          <c:x val="0.43862068965518886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84"/>
          <c:y val="0.14479638009050946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High int. bunches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2010'!$B$18:$B$31</c:f>
              <c:numCache>
                <c:formatCode>[$-409]dd\-mmm\-yy;@</c:formatCode>
                <c:ptCount val="14"/>
                <c:pt idx="0">
                  <c:v>40349</c:v>
                </c:pt>
                <c:pt idx="1">
                  <c:v>40358</c:v>
                </c:pt>
                <c:pt idx="2">
                  <c:v>40361</c:v>
                </c:pt>
                <c:pt idx="3">
                  <c:v>40371</c:v>
                </c:pt>
                <c:pt idx="4">
                  <c:v>40372</c:v>
                </c:pt>
                <c:pt idx="5">
                  <c:v>40377</c:v>
                </c:pt>
                <c:pt idx="6">
                  <c:v>40388</c:v>
                </c:pt>
                <c:pt idx="7">
                  <c:v>40394</c:v>
                </c:pt>
                <c:pt idx="8">
                  <c:v>40397</c:v>
                </c:pt>
                <c:pt idx="9">
                  <c:v>40398</c:v>
                </c:pt>
                <c:pt idx="10">
                  <c:v>40410</c:v>
                </c:pt>
                <c:pt idx="11">
                  <c:v>40413</c:v>
                </c:pt>
                <c:pt idx="12">
                  <c:v>40414</c:v>
                </c:pt>
                <c:pt idx="13">
                  <c:v>40416</c:v>
                </c:pt>
              </c:numCache>
            </c:numRef>
          </c:xVal>
          <c:yVal>
            <c:numRef>
              <c:f>'Lumi Protons 2010'!$K$18:$K$31</c:f>
              <c:numCache>
                <c:formatCode>0.00E+00</c:formatCode>
                <c:ptCount val="14"/>
                <c:pt idx="0">
                  <c:v>2.3000000000000001E+29</c:v>
                </c:pt>
                <c:pt idx="1">
                  <c:v>5.0000000000000001E+29</c:v>
                </c:pt>
                <c:pt idx="2">
                  <c:v>1.05E+30</c:v>
                </c:pt>
                <c:pt idx="3">
                  <c:v>8.8000000000000005E+29</c:v>
                </c:pt>
                <c:pt idx="4">
                  <c:v>1.3999999999999999E+30</c:v>
                </c:pt>
                <c:pt idx="5">
                  <c:v>1.5999999999999999E+30</c:v>
                </c:pt>
                <c:pt idx="6">
                  <c:v>2.5999999999999999E+30</c:v>
                </c:pt>
                <c:pt idx="7">
                  <c:v>2.9999999999999998E+30</c:v>
                </c:pt>
                <c:pt idx="8">
                  <c:v>3.1999999999999997E+30</c:v>
                </c:pt>
                <c:pt idx="9">
                  <c:v>4.0000000000000001E+30</c:v>
                </c:pt>
                <c:pt idx="10">
                  <c:v>6.5E+30</c:v>
                </c:pt>
                <c:pt idx="11">
                  <c:v>9.5000000000000003E+30</c:v>
                </c:pt>
                <c:pt idx="12">
                  <c:v>9.9999999999999996E+30</c:v>
                </c:pt>
                <c:pt idx="13">
                  <c:v>1.0499999999999999E+31</c:v>
                </c:pt>
              </c:numCache>
            </c:numRef>
          </c:yVal>
        </c:ser>
        <c:ser>
          <c:idx val="0"/>
          <c:order val="1"/>
          <c:tx>
            <c:v>Low int. bunches</c:v>
          </c:tx>
          <c:spPr>
            <a:ln>
              <a:solidFill>
                <a:srgbClr val="0000FF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'Lumi Protons 2010'!$B$11:$B$17</c:f>
              <c:numCache>
                <c:formatCode>[$-409]dd\-mmm\-yy;@</c:formatCode>
                <c:ptCount val="7"/>
                <c:pt idx="0">
                  <c:v>40272</c:v>
                </c:pt>
                <c:pt idx="1">
                  <c:v>40287</c:v>
                </c:pt>
                <c:pt idx="2">
                  <c:v>40306</c:v>
                </c:pt>
                <c:pt idx="3">
                  <c:v>40312</c:v>
                </c:pt>
                <c:pt idx="4">
                  <c:v>40313</c:v>
                </c:pt>
                <c:pt idx="5">
                  <c:v>40322</c:v>
                </c:pt>
                <c:pt idx="6">
                  <c:v>40323</c:v>
                </c:pt>
              </c:numCache>
            </c:numRef>
          </c:xVal>
          <c:yVal>
            <c:numRef>
              <c:f>'Lumi Protons 2010'!$K$11:$K$17</c:f>
              <c:numCache>
                <c:formatCode>0.00E+00</c:formatCode>
                <c:ptCount val="7"/>
                <c:pt idx="0">
                  <c:v>1E+27</c:v>
                </c:pt>
                <c:pt idx="1">
                  <c:v>1.3000000000000001E+28</c:v>
                </c:pt>
                <c:pt idx="2">
                  <c:v>1.9999999999999999E+28</c:v>
                </c:pt>
                <c:pt idx="3">
                  <c:v>3.3E+28</c:v>
                </c:pt>
                <c:pt idx="4">
                  <c:v>6.0000000000000002E+28</c:v>
                </c:pt>
                <c:pt idx="5">
                  <c:v>1.5E+29</c:v>
                </c:pt>
                <c:pt idx="6">
                  <c:v>1.9999999999999998E+29</c:v>
                </c:pt>
              </c:numCache>
            </c:numRef>
          </c:yVal>
        </c:ser>
        <c:ser>
          <c:idx val="1"/>
          <c:order val="2"/>
          <c:tx>
            <c:v>150 ns</c:v>
          </c:tx>
          <c:spPr>
            <a:ln>
              <a:solidFill>
                <a:srgbClr val="00FF00"/>
              </a:solidFill>
            </a:ln>
          </c:spPr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9900"/>
                </a:solidFill>
              </a:ln>
            </c:spPr>
          </c:marker>
          <c:xVal>
            <c:numRef>
              <c:f>'Lumi Protons 2010'!$B$32:$B$44</c:f>
              <c:numCache>
                <c:formatCode>[$-409]dd\-mmm\-yy;@</c:formatCode>
                <c:ptCount val="13"/>
                <c:pt idx="0">
                  <c:v>40443</c:v>
                </c:pt>
                <c:pt idx="1">
                  <c:v>40444</c:v>
                </c:pt>
                <c:pt idx="2">
                  <c:v>40446</c:v>
                </c:pt>
                <c:pt idx="3">
                  <c:v>40451</c:v>
                </c:pt>
                <c:pt idx="4">
                  <c:v>40454</c:v>
                </c:pt>
                <c:pt idx="5">
                  <c:v>40455</c:v>
                </c:pt>
                <c:pt idx="6">
                  <c:v>40459</c:v>
                </c:pt>
                <c:pt idx="7">
                  <c:v>40462</c:v>
                </c:pt>
                <c:pt idx="8">
                  <c:v>40465</c:v>
                </c:pt>
                <c:pt idx="9">
                  <c:v>40467</c:v>
                </c:pt>
                <c:pt idx="10">
                  <c:v>40469</c:v>
                </c:pt>
                <c:pt idx="11">
                  <c:v>40475</c:v>
                </c:pt>
                <c:pt idx="12">
                  <c:v>40475</c:v>
                </c:pt>
              </c:numCache>
            </c:numRef>
          </c:xVal>
          <c:yVal>
            <c:numRef>
              <c:f>'Lumi Protons 2010'!$K$32:$K$44</c:f>
              <c:numCache>
                <c:formatCode>0.00E+00</c:formatCode>
                <c:ptCount val="13"/>
                <c:pt idx="0">
                  <c:v>4.5999999999999999E+30</c:v>
                </c:pt>
                <c:pt idx="1">
                  <c:v>1.99E+31</c:v>
                </c:pt>
                <c:pt idx="2">
                  <c:v>3.3999999999999998E+31</c:v>
                </c:pt>
                <c:pt idx="3">
                  <c:v>4.7999999999999996E+31</c:v>
                </c:pt>
                <c:pt idx="4">
                  <c:v>5.0999999999999997E+31</c:v>
                </c:pt>
                <c:pt idx="5">
                  <c:v>6.7999999999999996E+31</c:v>
                </c:pt>
                <c:pt idx="6">
                  <c:v>8.8000000000000004E+31</c:v>
                </c:pt>
                <c:pt idx="7">
                  <c:v>9.4000000000000005E+31</c:v>
                </c:pt>
                <c:pt idx="8">
                  <c:v>1.03E+32</c:v>
                </c:pt>
                <c:pt idx="9">
                  <c:v>1.3099999999999999E+32</c:v>
                </c:pt>
                <c:pt idx="10">
                  <c:v>1.45E+32</c:v>
                </c:pt>
                <c:pt idx="11">
                  <c:v>1.5200000000000001E+32</c:v>
                </c:pt>
                <c:pt idx="12">
                  <c:v>2.0499999999999999E+32</c:v>
                </c:pt>
              </c:numCache>
            </c:numRef>
          </c:yVal>
        </c:ser>
        <c:ser>
          <c:idx val="3"/>
          <c:order val="3"/>
          <c:tx>
            <c:v>75 ns</c:v>
          </c:tx>
          <c:spPr>
            <a:ln>
              <a:solidFill>
                <a:srgbClr val="D60093"/>
              </a:solidFill>
            </a:ln>
          </c:spPr>
          <c:marker>
            <c:symbol val="diamond"/>
            <c:size val="9"/>
            <c:spPr>
              <a:solidFill>
                <a:srgbClr val="D60093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'Lumi Protons 2011'!$B$19:$B$22</c:f>
              <c:numCache>
                <c:formatCode>[$-409]dd\-mmm\-yy;@</c:formatCode>
                <c:ptCount val="4"/>
                <c:pt idx="0">
                  <c:v>40620</c:v>
                </c:pt>
                <c:pt idx="1">
                  <c:v>40621</c:v>
                </c:pt>
                <c:pt idx="2">
                  <c:v>40622</c:v>
                </c:pt>
                <c:pt idx="3">
                  <c:v>40624</c:v>
                </c:pt>
              </c:numCache>
            </c:numRef>
          </c:xVal>
          <c:yVal>
            <c:numRef>
              <c:f>'Lumi Protons 2011'!$K$19:$K$22</c:f>
              <c:numCache>
                <c:formatCode>0.00E+00</c:formatCode>
                <c:ptCount val="4"/>
                <c:pt idx="0">
                  <c:v>2.9999999999999999E+31</c:v>
                </c:pt>
                <c:pt idx="1">
                  <c:v>6.5999999999999998E+31</c:v>
                </c:pt>
                <c:pt idx="2">
                  <c:v>1.5E+32</c:v>
                </c:pt>
                <c:pt idx="3">
                  <c:v>2.4999999999999999E+32</c:v>
                </c:pt>
              </c:numCache>
            </c:numRef>
          </c:yVal>
        </c:ser>
        <c:ser>
          <c:idx val="5"/>
          <c:order val="4"/>
          <c:tx>
            <c:v>50 ns</c:v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9"/>
            <c:spPr>
              <a:solidFill>
                <a:srgbClr val="0099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'Lumi Protons 2011'!$B$23:$B$52</c:f>
              <c:numCache>
                <c:formatCode>[$-409]dd\-mmm\-yy;@</c:formatCode>
                <c:ptCount val="30"/>
                <c:pt idx="0">
                  <c:v>40648</c:v>
                </c:pt>
                <c:pt idx="1">
                  <c:v>40650</c:v>
                </c:pt>
                <c:pt idx="2">
                  <c:v>40654</c:v>
                </c:pt>
                <c:pt idx="3">
                  <c:v>40655</c:v>
                </c:pt>
                <c:pt idx="4">
                  <c:v>40656</c:v>
                </c:pt>
                <c:pt idx="5">
                  <c:v>40660</c:v>
                </c:pt>
                <c:pt idx="6">
                  <c:v>40661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40684</c:v>
                </c:pt>
                <c:pt idx="11">
                  <c:v>40685</c:v>
                </c:pt>
                <c:pt idx="12">
                  <c:v>40686</c:v>
                </c:pt>
                <c:pt idx="13">
                  <c:v>40692</c:v>
                </c:pt>
                <c:pt idx="14">
                  <c:v>40718</c:v>
                </c:pt>
                <c:pt idx="15">
                  <c:v>40722</c:v>
                </c:pt>
                <c:pt idx="16">
                  <c:v>40746</c:v>
                </c:pt>
                <c:pt idx="17">
                  <c:v>40747</c:v>
                </c:pt>
                <c:pt idx="18">
                  <c:v>40748</c:v>
                </c:pt>
                <c:pt idx="19">
                  <c:v>40755</c:v>
                </c:pt>
                <c:pt idx="20">
                  <c:v>40762</c:v>
                </c:pt>
                <c:pt idx="21">
                  <c:v>40767</c:v>
                </c:pt>
                <c:pt idx="22">
                  <c:v>40773</c:v>
                </c:pt>
                <c:pt idx="23">
                  <c:v>40795</c:v>
                </c:pt>
                <c:pt idx="24">
                  <c:v>40798</c:v>
                </c:pt>
                <c:pt idx="25">
                  <c:v>40800</c:v>
                </c:pt>
                <c:pt idx="26">
                  <c:v>40801</c:v>
                </c:pt>
                <c:pt idx="27">
                  <c:v>40825</c:v>
                </c:pt>
                <c:pt idx="28">
                  <c:v>40831</c:v>
                </c:pt>
                <c:pt idx="29">
                  <c:v>40832</c:v>
                </c:pt>
              </c:numCache>
            </c:numRef>
          </c:xVal>
          <c:yVal>
            <c:numRef>
              <c:f>'Lumi Protons 2011'!$K$23:$K$52</c:f>
              <c:numCache>
                <c:formatCode>0.00E+00</c:formatCode>
                <c:ptCount val="30"/>
                <c:pt idx="0">
                  <c:v>2.3E+32</c:v>
                </c:pt>
                <c:pt idx="1">
                  <c:v>3.5000000000000001E+32</c:v>
                </c:pt>
                <c:pt idx="2">
                  <c:v>4.5999999999999999E+32</c:v>
                </c:pt>
                <c:pt idx="3">
                  <c:v>4.7000000000000002E+32</c:v>
                </c:pt>
                <c:pt idx="4">
                  <c:v>4.9999999999999997E+32</c:v>
                </c:pt>
                <c:pt idx="5">
                  <c:v>6.7999999999999996E+32</c:v>
                </c:pt>
                <c:pt idx="6">
                  <c:v>7.0000000000000002E+32</c:v>
                </c:pt>
                <c:pt idx="7">
                  <c:v>7.0999999999999998E+32</c:v>
                </c:pt>
                <c:pt idx="8">
                  <c:v>8.0000000000000004E+32</c:v>
                </c:pt>
                <c:pt idx="9">
                  <c:v>8.4000000000000002E+32</c:v>
                </c:pt>
                <c:pt idx="10">
                  <c:v>8.4999999999999998E+32</c:v>
                </c:pt>
                <c:pt idx="11">
                  <c:v>9.3500000000000007E+32</c:v>
                </c:pt>
                <c:pt idx="12">
                  <c:v>1.0800000000000001E+33</c:v>
                </c:pt>
                <c:pt idx="13">
                  <c:v>1.27E+33</c:v>
                </c:pt>
                <c:pt idx="14">
                  <c:v>1.26E+33</c:v>
                </c:pt>
                <c:pt idx="15">
                  <c:v>1.24E+33</c:v>
                </c:pt>
                <c:pt idx="16">
                  <c:v>1.55E+33</c:v>
                </c:pt>
                <c:pt idx="17">
                  <c:v>1.6700000000000001E+33</c:v>
                </c:pt>
                <c:pt idx="18">
                  <c:v>1.75E+33</c:v>
                </c:pt>
                <c:pt idx="19">
                  <c:v>2.04E+33</c:v>
                </c:pt>
                <c:pt idx="20">
                  <c:v>2.1000000000000001E+33</c:v>
                </c:pt>
                <c:pt idx="21">
                  <c:v>2.1999999999999999E+33</c:v>
                </c:pt>
                <c:pt idx="22">
                  <c:v>2.39E+33</c:v>
                </c:pt>
                <c:pt idx="23">
                  <c:v>2.9799999999999999E+33</c:v>
                </c:pt>
                <c:pt idx="24">
                  <c:v>3.0500000000000002E+33</c:v>
                </c:pt>
                <c:pt idx="25">
                  <c:v>3.25E+33</c:v>
                </c:pt>
                <c:pt idx="26">
                  <c:v>3.25E+33</c:v>
                </c:pt>
                <c:pt idx="27">
                  <c:v>3.3700000000000001E+33</c:v>
                </c:pt>
                <c:pt idx="28">
                  <c:v>3.2999999999999998E+33</c:v>
                </c:pt>
                <c:pt idx="29">
                  <c:v>3.4499999999999997E+33</c:v>
                </c:pt>
              </c:numCache>
            </c:numRef>
          </c:yVal>
        </c:ser>
        <c:ser>
          <c:idx val="6"/>
          <c:order val="5"/>
          <c:spPr>
            <a:ln>
              <a:solidFill>
                <a:srgbClr val="00FF00"/>
              </a:solidFill>
            </a:ln>
          </c:spPr>
          <c:marker>
            <c:symbol val="diamond"/>
            <c:size val="9"/>
            <c:spPr>
              <a:solidFill>
                <a:srgbClr val="0099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'Lumi Protons 2012'!$B$18:$B$28</c:f>
              <c:numCache>
                <c:formatCode>[$-409]dd\-mmm\-yy;@</c:formatCode>
                <c:ptCount val="11"/>
                <c:pt idx="0">
                  <c:v>41004</c:v>
                </c:pt>
                <c:pt idx="1">
                  <c:v>41004</c:v>
                </c:pt>
                <c:pt idx="2">
                  <c:v>41005</c:v>
                </c:pt>
                <c:pt idx="3">
                  <c:v>41007</c:v>
                </c:pt>
                <c:pt idx="4">
                  <c:v>41007</c:v>
                </c:pt>
                <c:pt idx="5">
                  <c:v>41007</c:v>
                </c:pt>
                <c:pt idx="6">
                  <c:v>41011</c:v>
                </c:pt>
                <c:pt idx="7">
                  <c:v>41012</c:v>
                </c:pt>
                <c:pt idx="8">
                  <c:v>41014</c:v>
                </c:pt>
                <c:pt idx="9">
                  <c:v>41017</c:v>
                </c:pt>
                <c:pt idx="10">
                  <c:v>41018</c:v>
                </c:pt>
              </c:numCache>
            </c:numRef>
          </c:xVal>
          <c:yVal>
            <c:numRef>
              <c:f>'Lumi Protons 2012'!$K$18:$K$28</c:f>
              <c:numCache>
                <c:formatCode>0.00E+00</c:formatCode>
                <c:ptCount val="11"/>
                <c:pt idx="0">
                  <c:v>7.9999999999999997E+31</c:v>
                </c:pt>
                <c:pt idx="1">
                  <c:v>2.8000000000000001E+32</c:v>
                </c:pt>
                <c:pt idx="2">
                  <c:v>3.1999999999999999E+32</c:v>
                </c:pt>
                <c:pt idx="3">
                  <c:v>9.9999999999999995E+32</c:v>
                </c:pt>
                <c:pt idx="4">
                  <c:v>1.1E+33</c:v>
                </c:pt>
                <c:pt idx="5">
                  <c:v>2.4E+33</c:v>
                </c:pt>
                <c:pt idx="6">
                  <c:v>3.1E+33</c:v>
                </c:pt>
                <c:pt idx="7">
                  <c:v>3.8E+33</c:v>
                </c:pt>
                <c:pt idx="8">
                  <c:v>4.2000000000000001E+33</c:v>
                </c:pt>
                <c:pt idx="9">
                  <c:v>4.9999999999999997E+33</c:v>
                </c:pt>
                <c:pt idx="10">
                  <c:v>5.1999999999999995E+33</c:v>
                </c:pt>
              </c:numCache>
            </c:numRef>
          </c:yVal>
        </c:ser>
        <c:axId val="88495232"/>
        <c:axId val="88497152"/>
      </c:scatterChart>
      <c:valAx>
        <c:axId val="88495232"/>
        <c:scaling>
          <c:orientation val="minMax"/>
          <c:max val="41060"/>
          <c:min val="40252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8497152"/>
        <c:crossesAt val="1E+26"/>
        <c:crossBetween val="midCat"/>
      </c:valAx>
      <c:valAx>
        <c:axId val="88497152"/>
        <c:scaling>
          <c:logBase val="10"/>
          <c:orientation val="minMax"/>
          <c:max val="7.9999999999999996E+33"/>
          <c:min val="1.0000000000000002E+28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Luminosity (cm-2s-1)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8495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55724137931034479"/>
          <c:y val="0.47058823529411892"/>
          <c:w val="0.23032419223459136"/>
          <c:h val="0.267944561228490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run 2011</a:t>
            </a:r>
          </a:p>
        </c:rich>
      </c:tx>
      <c:layout>
        <c:manualLayout>
          <c:xMode val="edge"/>
          <c:yMode val="edge"/>
          <c:x val="0.43862068965518852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57"/>
          <c:y val="0.14479638009050927"/>
          <c:w val="0.70344827586206859"/>
          <c:h val="0.70135746606334803"/>
        </c:manualLayout>
      </c:layout>
      <c:scatterChart>
        <c:scatterStyle val="lineMarker"/>
        <c:ser>
          <c:idx val="0"/>
          <c:order val="0"/>
          <c:tx>
            <c:v>75 ns</c:v>
          </c:tx>
          <c:spPr>
            <a:ln>
              <a:solidFill>
                <a:srgbClr val="0000FF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'Lumi Protons 2011'!$B$19:$B$22</c:f>
              <c:numCache>
                <c:formatCode>[$-409]dd\-mmm\-yy;@</c:formatCode>
                <c:ptCount val="4"/>
                <c:pt idx="0">
                  <c:v>40620</c:v>
                </c:pt>
                <c:pt idx="1">
                  <c:v>40621</c:v>
                </c:pt>
                <c:pt idx="2">
                  <c:v>40622</c:v>
                </c:pt>
                <c:pt idx="3">
                  <c:v>40624</c:v>
                </c:pt>
              </c:numCache>
            </c:numRef>
          </c:xVal>
          <c:yVal>
            <c:numRef>
              <c:f>'Lumi Protons 2011'!$M$19:$M$22</c:f>
              <c:numCache>
                <c:formatCode>0.000</c:formatCode>
                <c:ptCount val="4"/>
                <c:pt idx="0">
                  <c:v>1.9736640000000001</c:v>
                </c:pt>
                <c:pt idx="1">
                  <c:v>4.1267520000000006</c:v>
                </c:pt>
                <c:pt idx="2">
                  <c:v>8.9218584000000014</c:v>
                </c:pt>
                <c:pt idx="3">
                  <c:v>13.456800000000001</c:v>
                </c:pt>
              </c:numCache>
            </c:numRef>
          </c:yVal>
        </c:ser>
        <c:ser>
          <c:idx val="2"/>
          <c:order val="1"/>
          <c:tx>
            <c:v>50 ns</c:v>
          </c:tx>
          <c:spPr>
            <a:ln>
              <a:solidFill>
                <a:srgbClr val="FF9900"/>
              </a:solidFill>
            </a:ln>
          </c:spPr>
          <c:marker>
            <c:symbol val="diamond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2011'!$B$23:$B$52</c:f>
              <c:numCache>
                <c:formatCode>[$-409]dd\-mmm\-yy;@</c:formatCode>
                <c:ptCount val="30"/>
                <c:pt idx="0">
                  <c:v>40648</c:v>
                </c:pt>
                <c:pt idx="1">
                  <c:v>40650</c:v>
                </c:pt>
                <c:pt idx="2">
                  <c:v>40654</c:v>
                </c:pt>
                <c:pt idx="3">
                  <c:v>40655</c:v>
                </c:pt>
                <c:pt idx="4">
                  <c:v>40656</c:v>
                </c:pt>
                <c:pt idx="5">
                  <c:v>40660</c:v>
                </c:pt>
                <c:pt idx="6">
                  <c:v>40661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40684</c:v>
                </c:pt>
                <c:pt idx="11">
                  <c:v>40685</c:v>
                </c:pt>
                <c:pt idx="12">
                  <c:v>40686</c:v>
                </c:pt>
                <c:pt idx="13">
                  <c:v>40692</c:v>
                </c:pt>
                <c:pt idx="14">
                  <c:v>40718</c:v>
                </c:pt>
                <c:pt idx="15">
                  <c:v>40722</c:v>
                </c:pt>
                <c:pt idx="16">
                  <c:v>40746</c:v>
                </c:pt>
                <c:pt idx="17">
                  <c:v>40747</c:v>
                </c:pt>
                <c:pt idx="18">
                  <c:v>40748</c:v>
                </c:pt>
                <c:pt idx="19">
                  <c:v>40755</c:v>
                </c:pt>
                <c:pt idx="20">
                  <c:v>40762</c:v>
                </c:pt>
                <c:pt idx="21">
                  <c:v>40767</c:v>
                </c:pt>
                <c:pt idx="22">
                  <c:v>40773</c:v>
                </c:pt>
                <c:pt idx="23">
                  <c:v>40795</c:v>
                </c:pt>
                <c:pt idx="24">
                  <c:v>40798</c:v>
                </c:pt>
                <c:pt idx="25">
                  <c:v>40800</c:v>
                </c:pt>
                <c:pt idx="26">
                  <c:v>40801</c:v>
                </c:pt>
                <c:pt idx="27">
                  <c:v>40825</c:v>
                </c:pt>
                <c:pt idx="28">
                  <c:v>40831</c:v>
                </c:pt>
                <c:pt idx="29">
                  <c:v>40832</c:v>
                </c:pt>
              </c:numCache>
            </c:numRef>
          </c:xVal>
          <c:yVal>
            <c:numRef>
              <c:f>'Lumi Protons 2011'!$M$23:$M$52</c:f>
              <c:numCache>
                <c:formatCode>0.000</c:formatCode>
                <c:ptCount val="30"/>
                <c:pt idx="0">
                  <c:v>15.340752</c:v>
                </c:pt>
                <c:pt idx="1">
                  <c:v>23.549399999999999</c:v>
                </c:pt>
                <c:pt idx="2">
                  <c:v>31.085208000000002</c:v>
                </c:pt>
                <c:pt idx="3">
                  <c:v>33.103728000000004</c:v>
                </c:pt>
                <c:pt idx="4">
                  <c:v>33.103728000000004</c:v>
                </c:pt>
                <c:pt idx="5">
                  <c:v>41.985216000000001</c:v>
                </c:pt>
                <c:pt idx="6">
                  <c:v>41.985216000000001</c:v>
                </c:pt>
                <c:pt idx="7">
                  <c:v>42.684969599999995</c:v>
                </c:pt>
                <c:pt idx="8">
                  <c:v>51.674112000000001</c:v>
                </c:pt>
                <c:pt idx="9">
                  <c:v>55.119052799999999</c:v>
                </c:pt>
                <c:pt idx="10">
                  <c:v>60.851649600000009</c:v>
                </c:pt>
                <c:pt idx="11">
                  <c:v>61.363008000000001</c:v>
                </c:pt>
                <c:pt idx="12">
                  <c:v>64.942516800000007</c:v>
                </c:pt>
                <c:pt idx="13">
                  <c:v>74.086412399999986</c:v>
                </c:pt>
                <c:pt idx="14">
                  <c:v>81.083948399999997</c:v>
                </c:pt>
                <c:pt idx="15">
                  <c:v>88.209324000000009</c:v>
                </c:pt>
                <c:pt idx="16">
                  <c:v>86.661792000000005</c:v>
                </c:pt>
                <c:pt idx="17">
                  <c:v>92.851920000000007</c:v>
                </c:pt>
                <c:pt idx="18">
                  <c:v>92.851920000000007</c:v>
                </c:pt>
                <c:pt idx="19">
                  <c:v>93.625686000000002</c:v>
                </c:pt>
                <c:pt idx="20">
                  <c:v>97.494516000000004</c:v>
                </c:pt>
                <c:pt idx="21">
                  <c:v>104.45841</c:v>
                </c:pt>
                <c:pt idx="22">
                  <c:v>99.042047999999994</c:v>
                </c:pt>
                <c:pt idx="23">
                  <c:v>98.268282000000013</c:v>
                </c:pt>
                <c:pt idx="24">
                  <c:v>100.58958</c:v>
                </c:pt>
                <c:pt idx="25">
                  <c:v>102.60137160000002</c:v>
                </c:pt>
                <c:pt idx="26">
                  <c:v>107.166591</c:v>
                </c:pt>
                <c:pt idx="27">
                  <c:v>105.77381220000001</c:v>
                </c:pt>
                <c:pt idx="28">
                  <c:v>110.41640820000001</c:v>
                </c:pt>
                <c:pt idx="29">
                  <c:v>107.166591</c:v>
                </c:pt>
              </c:numCache>
            </c:numRef>
          </c:yVal>
        </c:ser>
        <c:axId val="88772992"/>
        <c:axId val="88774912"/>
      </c:scatterChart>
      <c:valAx>
        <c:axId val="88772992"/>
        <c:scaling>
          <c:orientation val="minMax"/>
          <c:max val="40850"/>
          <c:min val="40603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8774912"/>
        <c:crosses val="autoZero"/>
        <c:crossBetween val="midCat"/>
      </c:valAx>
      <c:valAx>
        <c:axId val="88774912"/>
        <c:scaling>
          <c:logBase val="10"/>
          <c:orientation val="minMax"/>
          <c:max val="200"/>
          <c:min val="1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Stored</a:t>
                </a:r>
                <a:r>
                  <a:rPr lang="en-US" baseline="0"/>
                  <a:t> Energy</a:t>
                </a:r>
                <a:r>
                  <a:rPr lang="en-US"/>
                  <a:t> (MJ)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8772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206896551723741"/>
          <c:y val="0.3235294117647094"/>
          <c:w val="0.1491586206896521"/>
          <c:h val="0.1155178679588128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run 2011</a:t>
            </a:r>
          </a:p>
        </c:rich>
      </c:tx>
      <c:layout>
        <c:manualLayout>
          <c:xMode val="edge"/>
          <c:yMode val="edge"/>
          <c:x val="0.43862068965518863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73"/>
          <c:y val="0.14479638009050938"/>
          <c:w val="0.70344827586206859"/>
          <c:h val="0.70135746606334803"/>
        </c:manualLayout>
      </c:layout>
      <c:scatterChart>
        <c:scatterStyle val="lineMarker"/>
        <c:ser>
          <c:idx val="0"/>
          <c:order val="0"/>
          <c:tx>
            <c:v>75 ns</c:v>
          </c:tx>
          <c:spPr>
            <a:ln>
              <a:solidFill>
                <a:srgbClr val="0000FF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'Lumi Protons 2011'!$B$19:$B$22</c:f>
              <c:numCache>
                <c:formatCode>[$-409]dd\-mmm\-yy;@</c:formatCode>
                <c:ptCount val="4"/>
                <c:pt idx="0">
                  <c:v>40620</c:v>
                </c:pt>
                <c:pt idx="1">
                  <c:v>40621</c:v>
                </c:pt>
                <c:pt idx="2">
                  <c:v>40622</c:v>
                </c:pt>
                <c:pt idx="3">
                  <c:v>40624</c:v>
                </c:pt>
              </c:numCache>
            </c:numRef>
          </c:xVal>
          <c:yVal>
            <c:numRef>
              <c:f>'Lumi Protons 2011'!$K$19:$K$22</c:f>
              <c:numCache>
                <c:formatCode>0.00E+00</c:formatCode>
                <c:ptCount val="4"/>
                <c:pt idx="0">
                  <c:v>2.9999999999999999E+31</c:v>
                </c:pt>
                <c:pt idx="1">
                  <c:v>6.5999999999999998E+31</c:v>
                </c:pt>
                <c:pt idx="2">
                  <c:v>1.5E+32</c:v>
                </c:pt>
                <c:pt idx="3">
                  <c:v>2.4999999999999999E+32</c:v>
                </c:pt>
              </c:numCache>
            </c:numRef>
          </c:yVal>
        </c:ser>
        <c:ser>
          <c:idx val="2"/>
          <c:order val="1"/>
          <c:tx>
            <c:v>50 ns</c:v>
          </c:tx>
          <c:spPr>
            <a:ln>
              <a:solidFill>
                <a:srgbClr val="FF9900"/>
              </a:solidFill>
            </a:ln>
          </c:spPr>
          <c:marker>
            <c:symbol val="diamond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2011'!$B$23:$B$52</c:f>
              <c:numCache>
                <c:formatCode>[$-409]dd\-mmm\-yy;@</c:formatCode>
                <c:ptCount val="30"/>
                <c:pt idx="0">
                  <c:v>40648</c:v>
                </c:pt>
                <c:pt idx="1">
                  <c:v>40650</c:v>
                </c:pt>
                <c:pt idx="2">
                  <c:v>40654</c:v>
                </c:pt>
                <c:pt idx="3">
                  <c:v>40655</c:v>
                </c:pt>
                <c:pt idx="4">
                  <c:v>40656</c:v>
                </c:pt>
                <c:pt idx="5">
                  <c:v>40660</c:v>
                </c:pt>
                <c:pt idx="6">
                  <c:v>40661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40684</c:v>
                </c:pt>
                <c:pt idx="11">
                  <c:v>40685</c:v>
                </c:pt>
                <c:pt idx="12">
                  <c:v>40686</c:v>
                </c:pt>
                <c:pt idx="13">
                  <c:v>40692</c:v>
                </c:pt>
                <c:pt idx="14">
                  <c:v>40718</c:v>
                </c:pt>
                <c:pt idx="15">
                  <c:v>40722</c:v>
                </c:pt>
                <c:pt idx="16">
                  <c:v>40746</c:v>
                </c:pt>
                <c:pt idx="17">
                  <c:v>40747</c:v>
                </c:pt>
                <c:pt idx="18">
                  <c:v>40748</c:v>
                </c:pt>
                <c:pt idx="19">
                  <c:v>40755</c:v>
                </c:pt>
                <c:pt idx="20">
                  <c:v>40762</c:v>
                </c:pt>
                <c:pt idx="21">
                  <c:v>40767</c:v>
                </c:pt>
                <c:pt idx="22">
                  <c:v>40773</c:v>
                </c:pt>
                <c:pt idx="23">
                  <c:v>40795</c:v>
                </c:pt>
                <c:pt idx="24">
                  <c:v>40798</c:v>
                </c:pt>
                <c:pt idx="25">
                  <c:v>40800</c:v>
                </c:pt>
                <c:pt idx="26">
                  <c:v>40801</c:v>
                </c:pt>
                <c:pt idx="27">
                  <c:v>40825</c:v>
                </c:pt>
                <c:pt idx="28">
                  <c:v>40831</c:v>
                </c:pt>
                <c:pt idx="29">
                  <c:v>40832</c:v>
                </c:pt>
              </c:numCache>
            </c:numRef>
          </c:xVal>
          <c:yVal>
            <c:numRef>
              <c:f>'Lumi Protons 2011'!$K$23:$K$52</c:f>
              <c:numCache>
                <c:formatCode>0.00E+00</c:formatCode>
                <c:ptCount val="30"/>
                <c:pt idx="0">
                  <c:v>2.3E+32</c:v>
                </c:pt>
                <c:pt idx="1">
                  <c:v>3.5000000000000001E+32</c:v>
                </c:pt>
                <c:pt idx="2">
                  <c:v>4.5999999999999999E+32</c:v>
                </c:pt>
                <c:pt idx="3">
                  <c:v>4.7000000000000002E+32</c:v>
                </c:pt>
                <c:pt idx="4">
                  <c:v>4.9999999999999997E+32</c:v>
                </c:pt>
                <c:pt idx="5">
                  <c:v>6.7999999999999996E+32</c:v>
                </c:pt>
                <c:pt idx="6">
                  <c:v>7.0000000000000002E+32</c:v>
                </c:pt>
                <c:pt idx="7">
                  <c:v>7.0999999999999998E+32</c:v>
                </c:pt>
                <c:pt idx="8">
                  <c:v>8.0000000000000004E+32</c:v>
                </c:pt>
                <c:pt idx="9">
                  <c:v>8.4000000000000002E+32</c:v>
                </c:pt>
                <c:pt idx="10">
                  <c:v>8.4999999999999998E+32</c:v>
                </c:pt>
                <c:pt idx="11">
                  <c:v>9.3500000000000007E+32</c:v>
                </c:pt>
                <c:pt idx="12">
                  <c:v>1.0800000000000001E+33</c:v>
                </c:pt>
                <c:pt idx="13">
                  <c:v>1.27E+33</c:v>
                </c:pt>
                <c:pt idx="14">
                  <c:v>1.26E+33</c:v>
                </c:pt>
                <c:pt idx="15">
                  <c:v>1.24E+33</c:v>
                </c:pt>
                <c:pt idx="16">
                  <c:v>1.55E+33</c:v>
                </c:pt>
                <c:pt idx="17">
                  <c:v>1.6700000000000001E+33</c:v>
                </c:pt>
                <c:pt idx="18">
                  <c:v>1.75E+33</c:v>
                </c:pt>
                <c:pt idx="19">
                  <c:v>2.04E+33</c:v>
                </c:pt>
                <c:pt idx="20">
                  <c:v>2.1000000000000001E+33</c:v>
                </c:pt>
                <c:pt idx="21">
                  <c:v>2.1999999999999999E+33</c:v>
                </c:pt>
                <c:pt idx="22">
                  <c:v>2.39E+33</c:v>
                </c:pt>
                <c:pt idx="23">
                  <c:v>2.9799999999999999E+33</c:v>
                </c:pt>
                <c:pt idx="24">
                  <c:v>3.0500000000000002E+33</c:v>
                </c:pt>
                <c:pt idx="25">
                  <c:v>3.25E+33</c:v>
                </c:pt>
                <c:pt idx="26">
                  <c:v>3.25E+33</c:v>
                </c:pt>
                <c:pt idx="27">
                  <c:v>3.3700000000000001E+33</c:v>
                </c:pt>
                <c:pt idx="28">
                  <c:v>3.2999999999999998E+33</c:v>
                </c:pt>
                <c:pt idx="29">
                  <c:v>3.4499999999999997E+33</c:v>
                </c:pt>
              </c:numCache>
            </c:numRef>
          </c:yVal>
        </c:ser>
        <c:axId val="88677760"/>
        <c:axId val="88696320"/>
      </c:scatterChart>
      <c:valAx>
        <c:axId val="88677760"/>
        <c:scaling>
          <c:orientation val="minMax"/>
          <c:max val="40850"/>
          <c:min val="40603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8696320"/>
        <c:crossesAt val="1E+26"/>
        <c:crossBetween val="midCat"/>
      </c:valAx>
      <c:valAx>
        <c:axId val="88696320"/>
        <c:scaling>
          <c:logBase val="10"/>
          <c:orientation val="minMax"/>
          <c:max val="3.9999999999999998E+33"/>
          <c:min val="1.0000000000000002E+31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Luminosity (cm-2s-1)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8677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89655172413788"/>
          <c:y val="0.26470588235294296"/>
          <c:w val="0.14915862068965208"/>
          <c:h val="0.1313549720312110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2010-2011</a:t>
            </a:r>
          </a:p>
        </c:rich>
      </c:tx>
      <c:layout>
        <c:manualLayout>
          <c:xMode val="edge"/>
          <c:yMode val="edge"/>
          <c:x val="0.43862068965518852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57"/>
          <c:y val="0.14479638009050927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High int. bunches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2010'!$B$18:$B$31</c:f>
              <c:numCache>
                <c:formatCode>[$-409]dd\-mmm\-yy;@</c:formatCode>
                <c:ptCount val="14"/>
                <c:pt idx="0">
                  <c:v>40349</c:v>
                </c:pt>
                <c:pt idx="1">
                  <c:v>40358</c:v>
                </c:pt>
                <c:pt idx="2">
                  <c:v>40361</c:v>
                </c:pt>
                <c:pt idx="3">
                  <c:v>40371</c:v>
                </c:pt>
                <c:pt idx="4">
                  <c:v>40372</c:v>
                </c:pt>
                <c:pt idx="5">
                  <c:v>40377</c:v>
                </c:pt>
                <c:pt idx="6">
                  <c:v>40388</c:v>
                </c:pt>
                <c:pt idx="7">
                  <c:v>40394</c:v>
                </c:pt>
                <c:pt idx="8">
                  <c:v>40397</c:v>
                </c:pt>
                <c:pt idx="9">
                  <c:v>40398</c:v>
                </c:pt>
                <c:pt idx="10">
                  <c:v>40410</c:v>
                </c:pt>
                <c:pt idx="11">
                  <c:v>40413</c:v>
                </c:pt>
                <c:pt idx="12">
                  <c:v>40414</c:v>
                </c:pt>
                <c:pt idx="13">
                  <c:v>40416</c:v>
                </c:pt>
              </c:numCache>
            </c:numRef>
          </c:xVal>
          <c:yVal>
            <c:numRef>
              <c:f>'Lumi Protons 2010'!$M$18:$M$31</c:f>
              <c:numCache>
                <c:formatCode>0.000</c:formatCode>
                <c:ptCount val="14"/>
                <c:pt idx="0">
                  <c:v>0.11214</c:v>
                </c:pt>
                <c:pt idx="1">
                  <c:v>0.16821</c:v>
                </c:pt>
                <c:pt idx="2">
                  <c:v>0.370062</c:v>
                </c:pt>
                <c:pt idx="3">
                  <c:v>0.45416700000000004</c:v>
                </c:pt>
                <c:pt idx="4">
                  <c:v>0.60555600000000009</c:v>
                </c:pt>
                <c:pt idx="5">
                  <c:v>0.65601900000000002</c:v>
                </c:pt>
                <c:pt idx="6">
                  <c:v>1.1214000000000002</c:v>
                </c:pt>
                <c:pt idx="7">
                  <c:v>1.2615750000000001</c:v>
                </c:pt>
                <c:pt idx="8">
                  <c:v>1.2615750000000001</c:v>
                </c:pt>
                <c:pt idx="9">
                  <c:v>1.3316625000000002</c:v>
                </c:pt>
                <c:pt idx="10">
                  <c:v>2.4222240000000004</c:v>
                </c:pt>
                <c:pt idx="11">
                  <c:v>2.6106191999999995</c:v>
                </c:pt>
                <c:pt idx="12">
                  <c:v>2.8035000000000001</c:v>
                </c:pt>
                <c:pt idx="13">
                  <c:v>3.0042306000000005</c:v>
                </c:pt>
              </c:numCache>
            </c:numRef>
          </c:yVal>
        </c:ser>
        <c:ser>
          <c:idx val="0"/>
          <c:order val="1"/>
          <c:tx>
            <c:v>Low int. bunches</c:v>
          </c:tx>
          <c:spPr>
            <a:ln>
              <a:solidFill>
                <a:srgbClr val="0000FF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'Lumi Protons 2010'!$B$11:$B$17</c:f>
              <c:numCache>
                <c:formatCode>[$-409]dd\-mmm\-yy;@</c:formatCode>
                <c:ptCount val="7"/>
                <c:pt idx="0">
                  <c:v>40272</c:v>
                </c:pt>
                <c:pt idx="1">
                  <c:v>40287</c:v>
                </c:pt>
                <c:pt idx="2">
                  <c:v>40306</c:v>
                </c:pt>
                <c:pt idx="3">
                  <c:v>40312</c:v>
                </c:pt>
                <c:pt idx="4">
                  <c:v>40313</c:v>
                </c:pt>
                <c:pt idx="5">
                  <c:v>40322</c:v>
                </c:pt>
                <c:pt idx="6">
                  <c:v>40323</c:v>
                </c:pt>
              </c:numCache>
            </c:numRef>
          </c:xVal>
          <c:yVal>
            <c:numRef>
              <c:f>'Lumi Protons 2010'!$M$11:$M$17</c:f>
              <c:numCache>
                <c:formatCode>0.000</c:formatCode>
                <c:ptCount val="7"/>
                <c:pt idx="0">
                  <c:v>1.1214E-2</c:v>
                </c:pt>
                <c:pt idx="1">
                  <c:v>2.0185200000000004E-2</c:v>
                </c:pt>
                <c:pt idx="2">
                  <c:v>2.2428E-2</c:v>
                </c:pt>
                <c:pt idx="3">
                  <c:v>4.9341599999999999E-2</c:v>
                </c:pt>
                <c:pt idx="4">
                  <c:v>7.0648200000000022E-2</c:v>
                </c:pt>
                <c:pt idx="5">
                  <c:v>0.15307110000000002</c:v>
                </c:pt>
                <c:pt idx="6">
                  <c:v>0.17493839999999999</c:v>
                </c:pt>
              </c:numCache>
            </c:numRef>
          </c:yVal>
        </c:ser>
        <c:ser>
          <c:idx val="1"/>
          <c:order val="2"/>
          <c:tx>
            <c:v>150 ns</c:v>
          </c:tx>
          <c:spPr>
            <a:ln>
              <a:solidFill>
                <a:srgbClr val="00FF00"/>
              </a:solidFill>
            </a:ln>
          </c:spPr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9900"/>
                </a:solidFill>
              </a:ln>
            </c:spPr>
          </c:marker>
          <c:xVal>
            <c:numRef>
              <c:f>'Lumi Protons 2010'!$B$32:$B$44</c:f>
              <c:numCache>
                <c:formatCode>[$-409]dd\-mmm\-yy;@</c:formatCode>
                <c:ptCount val="13"/>
                <c:pt idx="0">
                  <c:v>40443</c:v>
                </c:pt>
                <c:pt idx="1">
                  <c:v>40444</c:v>
                </c:pt>
                <c:pt idx="2">
                  <c:v>40446</c:v>
                </c:pt>
                <c:pt idx="3">
                  <c:v>40451</c:v>
                </c:pt>
                <c:pt idx="4">
                  <c:v>40454</c:v>
                </c:pt>
                <c:pt idx="5">
                  <c:v>40455</c:v>
                </c:pt>
                <c:pt idx="6">
                  <c:v>40459</c:v>
                </c:pt>
                <c:pt idx="7">
                  <c:v>40462</c:v>
                </c:pt>
                <c:pt idx="8">
                  <c:v>40465</c:v>
                </c:pt>
                <c:pt idx="9">
                  <c:v>40467</c:v>
                </c:pt>
                <c:pt idx="10">
                  <c:v>40469</c:v>
                </c:pt>
                <c:pt idx="11">
                  <c:v>40475</c:v>
                </c:pt>
                <c:pt idx="12">
                  <c:v>40475</c:v>
                </c:pt>
              </c:numCache>
            </c:numRef>
          </c:xVal>
          <c:yVal>
            <c:numRef>
              <c:f>'Lumi Protons 2010'!$M$32:$M$44</c:f>
              <c:numCache>
                <c:formatCode>0.000</c:formatCode>
                <c:ptCount val="13"/>
                <c:pt idx="0">
                  <c:v>1.34568</c:v>
                </c:pt>
                <c:pt idx="1">
                  <c:v>3.2969160000000004</c:v>
                </c:pt>
                <c:pt idx="2">
                  <c:v>6.1228440000000006</c:v>
                </c:pt>
                <c:pt idx="3">
                  <c:v>8.5226399999999991</c:v>
                </c:pt>
                <c:pt idx="4">
                  <c:v>9.7158096</c:v>
                </c:pt>
                <c:pt idx="5">
                  <c:v>11.214</c:v>
                </c:pt>
                <c:pt idx="6">
                  <c:v>14.322520800000001</c:v>
                </c:pt>
                <c:pt idx="7">
                  <c:v>14.600628</c:v>
                </c:pt>
                <c:pt idx="8">
                  <c:v>14.878735199999999</c:v>
                </c:pt>
                <c:pt idx="9">
                  <c:v>19.7680392</c:v>
                </c:pt>
                <c:pt idx="10">
                  <c:v>20.117916000000001</c:v>
                </c:pt>
                <c:pt idx="11">
                  <c:v>20.467792799999998</c:v>
                </c:pt>
                <c:pt idx="12">
                  <c:v>24.347836799999996</c:v>
                </c:pt>
              </c:numCache>
            </c:numRef>
          </c:yVal>
        </c:ser>
        <c:ser>
          <c:idx val="4"/>
          <c:order val="3"/>
          <c:tx>
            <c:v>High int bunches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2011'!$B$18</c:f>
              <c:numCache>
                <c:formatCode>[$-409]dd\-mmm\-yy;@</c:formatCode>
                <c:ptCount val="1"/>
                <c:pt idx="0">
                  <c:v>40615</c:v>
                </c:pt>
              </c:numCache>
            </c:numRef>
          </c:xVal>
          <c:yVal>
            <c:numRef>
              <c:f>'Lumi Protons 2011'!$M$18</c:f>
              <c:numCache>
                <c:formatCode>0.000</c:formatCode>
                <c:ptCount val="1"/>
                <c:pt idx="0">
                  <c:v>0.11214</c:v>
                </c:pt>
              </c:numCache>
            </c:numRef>
          </c:yVal>
        </c:ser>
        <c:ser>
          <c:idx val="3"/>
          <c:order val="4"/>
          <c:tx>
            <c:v>75 ns</c:v>
          </c:tx>
          <c:spPr>
            <a:ln>
              <a:solidFill>
                <a:srgbClr val="D60093"/>
              </a:solidFill>
            </a:ln>
          </c:spPr>
          <c:marker>
            <c:symbol val="diamond"/>
            <c:size val="9"/>
            <c:spPr>
              <a:solidFill>
                <a:srgbClr val="D60093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'Lumi Protons 2011'!$B$19:$B$22</c:f>
              <c:numCache>
                <c:formatCode>[$-409]dd\-mmm\-yy;@</c:formatCode>
                <c:ptCount val="4"/>
                <c:pt idx="0">
                  <c:v>40620</c:v>
                </c:pt>
                <c:pt idx="1">
                  <c:v>40621</c:v>
                </c:pt>
                <c:pt idx="2">
                  <c:v>40622</c:v>
                </c:pt>
                <c:pt idx="3">
                  <c:v>40624</c:v>
                </c:pt>
              </c:numCache>
            </c:numRef>
          </c:xVal>
          <c:yVal>
            <c:numRef>
              <c:f>'Lumi Protons 2011'!$M$19:$M$22</c:f>
              <c:numCache>
                <c:formatCode>0.000</c:formatCode>
                <c:ptCount val="4"/>
                <c:pt idx="0">
                  <c:v>1.9736640000000001</c:v>
                </c:pt>
                <c:pt idx="1">
                  <c:v>4.1267520000000006</c:v>
                </c:pt>
                <c:pt idx="2">
                  <c:v>8.9218584000000014</c:v>
                </c:pt>
                <c:pt idx="3">
                  <c:v>13.456800000000001</c:v>
                </c:pt>
              </c:numCache>
            </c:numRef>
          </c:yVal>
        </c:ser>
        <c:ser>
          <c:idx val="5"/>
          <c:order val="5"/>
          <c:tx>
            <c:v>50 ns</c:v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9"/>
            <c:spPr>
              <a:solidFill>
                <a:srgbClr val="0099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'Lumi Protons 2011'!$B$23:$B$52</c:f>
              <c:numCache>
                <c:formatCode>[$-409]dd\-mmm\-yy;@</c:formatCode>
                <c:ptCount val="30"/>
                <c:pt idx="0">
                  <c:v>40648</c:v>
                </c:pt>
                <c:pt idx="1">
                  <c:v>40650</c:v>
                </c:pt>
                <c:pt idx="2">
                  <c:v>40654</c:v>
                </c:pt>
                <c:pt idx="3">
                  <c:v>40655</c:v>
                </c:pt>
                <c:pt idx="4">
                  <c:v>40656</c:v>
                </c:pt>
                <c:pt idx="5">
                  <c:v>40660</c:v>
                </c:pt>
                <c:pt idx="6">
                  <c:v>40661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40684</c:v>
                </c:pt>
                <c:pt idx="11">
                  <c:v>40685</c:v>
                </c:pt>
                <c:pt idx="12">
                  <c:v>40686</c:v>
                </c:pt>
                <c:pt idx="13">
                  <c:v>40692</c:v>
                </c:pt>
                <c:pt idx="14">
                  <c:v>40718</c:v>
                </c:pt>
                <c:pt idx="15">
                  <c:v>40722</c:v>
                </c:pt>
                <c:pt idx="16">
                  <c:v>40746</c:v>
                </c:pt>
                <c:pt idx="17">
                  <c:v>40747</c:v>
                </c:pt>
                <c:pt idx="18">
                  <c:v>40748</c:v>
                </c:pt>
                <c:pt idx="19">
                  <c:v>40755</c:v>
                </c:pt>
                <c:pt idx="20">
                  <c:v>40762</c:v>
                </c:pt>
                <c:pt idx="21">
                  <c:v>40767</c:v>
                </c:pt>
                <c:pt idx="22">
                  <c:v>40773</c:v>
                </c:pt>
                <c:pt idx="23">
                  <c:v>40795</c:v>
                </c:pt>
                <c:pt idx="24">
                  <c:v>40798</c:v>
                </c:pt>
                <c:pt idx="25">
                  <c:v>40800</c:v>
                </c:pt>
                <c:pt idx="26">
                  <c:v>40801</c:v>
                </c:pt>
                <c:pt idx="27">
                  <c:v>40825</c:v>
                </c:pt>
                <c:pt idx="28">
                  <c:v>40831</c:v>
                </c:pt>
                <c:pt idx="29">
                  <c:v>40832</c:v>
                </c:pt>
              </c:numCache>
            </c:numRef>
          </c:xVal>
          <c:yVal>
            <c:numRef>
              <c:f>'Lumi Protons 2011'!$M$23:$M$52</c:f>
              <c:numCache>
                <c:formatCode>0.000</c:formatCode>
                <c:ptCount val="30"/>
                <c:pt idx="0">
                  <c:v>15.340752</c:v>
                </c:pt>
                <c:pt idx="1">
                  <c:v>23.549399999999999</c:v>
                </c:pt>
                <c:pt idx="2">
                  <c:v>31.085208000000002</c:v>
                </c:pt>
                <c:pt idx="3">
                  <c:v>33.103728000000004</c:v>
                </c:pt>
                <c:pt idx="4">
                  <c:v>33.103728000000004</c:v>
                </c:pt>
                <c:pt idx="5">
                  <c:v>41.985216000000001</c:v>
                </c:pt>
                <c:pt idx="6">
                  <c:v>41.985216000000001</c:v>
                </c:pt>
                <c:pt idx="7">
                  <c:v>42.684969599999995</c:v>
                </c:pt>
                <c:pt idx="8">
                  <c:v>51.674112000000001</c:v>
                </c:pt>
                <c:pt idx="9">
                  <c:v>55.119052799999999</c:v>
                </c:pt>
                <c:pt idx="10">
                  <c:v>60.851649600000009</c:v>
                </c:pt>
                <c:pt idx="11">
                  <c:v>61.363008000000001</c:v>
                </c:pt>
                <c:pt idx="12">
                  <c:v>64.942516800000007</c:v>
                </c:pt>
                <c:pt idx="13">
                  <c:v>74.086412399999986</c:v>
                </c:pt>
                <c:pt idx="14">
                  <c:v>81.083948399999997</c:v>
                </c:pt>
                <c:pt idx="15">
                  <c:v>88.209324000000009</c:v>
                </c:pt>
                <c:pt idx="16">
                  <c:v>86.661792000000005</c:v>
                </c:pt>
                <c:pt idx="17">
                  <c:v>92.851920000000007</c:v>
                </c:pt>
                <c:pt idx="18">
                  <c:v>92.851920000000007</c:v>
                </c:pt>
                <c:pt idx="19">
                  <c:v>93.625686000000002</c:v>
                </c:pt>
                <c:pt idx="20">
                  <c:v>97.494516000000004</c:v>
                </c:pt>
                <c:pt idx="21">
                  <c:v>104.45841</c:v>
                </c:pt>
                <c:pt idx="22">
                  <c:v>99.042047999999994</c:v>
                </c:pt>
                <c:pt idx="23">
                  <c:v>98.268282000000013</c:v>
                </c:pt>
                <c:pt idx="24">
                  <c:v>100.58958</c:v>
                </c:pt>
                <c:pt idx="25">
                  <c:v>102.60137160000002</c:v>
                </c:pt>
                <c:pt idx="26">
                  <c:v>107.166591</c:v>
                </c:pt>
                <c:pt idx="27">
                  <c:v>105.77381220000001</c:v>
                </c:pt>
                <c:pt idx="28">
                  <c:v>110.41640820000001</c:v>
                </c:pt>
                <c:pt idx="29">
                  <c:v>107.166591</c:v>
                </c:pt>
              </c:numCache>
            </c:numRef>
          </c:yVal>
        </c:ser>
        <c:axId val="88908160"/>
        <c:axId val="88910080"/>
      </c:scatterChart>
      <c:valAx>
        <c:axId val="88908160"/>
        <c:scaling>
          <c:orientation val="minMax"/>
          <c:max val="40850"/>
          <c:min val="40252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8910080"/>
        <c:crossesAt val="1.0000000000000005E-2"/>
        <c:crossBetween val="midCat"/>
      </c:valAx>
      <c:valAx>
        <c:axId val="88910080"/>
        <c:scaling>
          <c:logBase val="10"/>
          <c:orientation val="minMax"/>
          <c:max val="200"/>
          <c:min val="1.0000000000000005E-2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Stored</a:t>
                </a:r>
                <a:r>
                  <a:rPr lang="en-US" baseline="0"/>
                  <a:t> Energy</a:t>
                </a:r>
                <a:r>
                  <a:rPr lang="en-US"/>
                  <a:t> (MJ)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89081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3724137931034563"/>
          <c:y val="0.52941176470588236"/>
          <c:w val="0.23032419223459136"/>
          <c:h val="0.2808094915737343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</a:t>
            </a:r>
            <a:r>
              <a:rPr lang="en-US" sz="2400" b="1" baseline="0">
                <a:solidFill>
                  <a:srgbClr val="0070C0"/>
                </a:solidFill>
              </a:rPr>
              <a:t> </a:t>
            </a:r>
            <a:r>
              <a:rPr lang="en-US" sz="2400" b="1">
                <a:solidFill>
                  <a:srgbClr val="0070C0"/>
                </a:solidFill>
              </a:rPr>
              <a:t>2010-2011</a:t>
            </a:r>
          </a:p>
        </c:rich>
      </c:tx>
      <c:layout>
        <c:manualLayout>
          <c:xMode val="edge"/>
          <c:yMode val="edge"/>
          <c:x val="0.43862068965518863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73"/>
          <c:y val="0.14479638009050938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High int. bunches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2010'!$B$18:$B$31</c:f>
              <c:numCache>
                <c:formatCode>[$-409]dd\-mmm\-yy;@</c:formatCode>
                <c:ptCount val="14"/>
                <c:pt idx="0">
                  <c:v>40349</c:v>
                </c:pt>
                <c:pt idx="1">
                  <c:v>40358</c:v>
                </c:pt>
                <c:pt idx="2">
                  <c:v>40361</c:v>
                </c:pt>
                <c:pt idx="3">
                  <c:v>40371</c:v>
                </c:pt>
                <c:pt idx="4">
                  <c:v>40372</c:v>
                </c:pt>
                <c:pt idx="5">
                  <c:v>40377</c:v>
                </c:pt>
                <c:pt idx="6">
                  <c:v>40388</c:v>
                </c:pt>
                <c:pt idx="7">
                  <c:v>40394</c:v>
                </c:pt>
                <c:pt idx="8">
                  <c:v>40397</c:v>
                </c:pt>
                <c:pt idx="9">
                  <c:v>40398</c:v>
                </c:pt>
                <c:pt idx="10">
                  <c:v>40410</c:v>
                </c:pt>
                <c:pt idx="11">
                  <c:v>40413</c:v>
                </c:pt>
                <c:pt idx="12">
                  <c:v>40414</c:v>
                </c:pt>
                <c:pt idx="13">
                  <c:v>40416</c:v>
                </c:pt>
              </c:numCache>
            </c:numRef>
          </c:xVal>
          <c:yVal>
            <c:numRef>
              <c:f>'Lumi Protons 2010'!$K$18:$K$31</c:f>
              <c:numCache>
                <c:formatCode>0.00E+00</c:formatCode>
                <c:ptCount val="14"/>
                <c:pt idx="0">
                  <c:v>2.3000000000000001E+29</c:v>
                </c:pt>
                <c:pt idx="1">
                  <c:v>5.0000000000000001E+29</c:v>
                </c:pt>
                <c:pt idx="2">
                  <c:v>1.05E+30</c:v>
                </c:pt>
                <c:pt idx="3">
                  <c:v>8.8000000000000005E+29</c:v>
                </c:pt>
                <c:pt idx="4">
                  <c:v>1.3999999999999999E+30</c:v>
                </c:pt>
                <c:pt idx="5">
                  <c:v>1.5999999999999999E+30</c:v>
                </c:pt>
                <c:pt idx="6">
                  <c:v>2.5999999999999999E+30</c:v>
                </c:pt>
                <c:pt idx="7">
                  <c:v>2.9999999999999998E+30</c:v>
                </c:pt>
                <c:pt idx="8">
                  <c:v>3.1999999999999997E+30</c:v>
                </c:pt>
                <c:pt idx="9">
                  <c:v>4.0000000000000001E+30</c:v>
                </c:pt>
                <c:pt idx="10">
                  <c:v>6.5E+30</c:v>
                </c:pt>
                <c:pt idx="11">
                  <c:v>9.5000000000000003E+30</c:v>
                </c:pt>
                <c:pt idx="12">
                  <c:v>9.9999999999999996E+30</c:v>
                </c:pt>
                <c:pt idx="13">
                  <c:v>1.0499999999999999E+31</c:v>
                </c:pt>
              </c:numCache>
            </c:numRef>
          </c:yVal>
        </c:ser>
        <c:ser>
          <c:idx val="0"/>
          <c:order val="1"/>
          <c:tx>
            <c:v>Low int. bunches</c:v>
          </c:tx>
          <c:spPr>
            <a:ln>
              <a:solidFill>
                <a:srgbClr val="0000FF"/>
              </a:solidFill>
              <a:prstDash val="sysDot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'Lumi Protons 2010'!$B$11:$B$17</c:f>
              <c:numCache>
                <c:formatCode>[$-409]dd\-mmm\-yy;@</c:formatCode>
                <c:ptCount val="7"/>
                <c:pt idx="0">
                  <c:v>40272</c:v>
                </c:pt>
                <c:pt idx="1">
                  <c:v>40287</c:v>
                </c:pt>
                <c:pt idx="2">
                  <c:v>40306</c:v>
                </c:pt>
                <c:pt idx="3">
                  <c:v>40312</c:v>
                </c:pt>
                <c:pt idx="4">
                  <c:v>40313</c:v>
                </c:pt>
                <c:pt idx="5">
                  <c:v>40322</c:v>
                </c:pt>
                <c:pt idx="6">
                  <c:v>40323</c:v>
                </c:pt>
              </c:numCache>
            </c:numRef>
          </c:xVal>
          <c:yVal>
            <c:numRef>
              <c:f>'Lumi Protons 2010'!$K$11:$K$17</c:f>
              <c:numCache>
                <c:formatCode>0.00E+00</c:formatCode>
                <c:ptCount val="7"/>
                <c:pt idx="0">
                  <c:v>1E+27</c:v>
                </c:pt>
                <c:pt idx="1">
                  <c:v>1.3000000000000001E+28</c:v>
                </c:pt>
                <c:pt idx="2">
                  <c:v>1.9999999999999999E+28</c:v>
                </c:pt>
                <c:pt idx="3">
                  <c:v>3.3E+28</c:v>
                </c:pt>
                <c:pt idx="4">
                  <c:v>6.0000000000000002E+28</c:v>
                </c:pt>
                <c:pt idx="5">
                  <c:v>1.5E+29</c:v>
                </c:pt>
                <c:pt idx="6">
                  <c:v>1.9999999999999998E+29</c:v>
                </c:pt>
              </c:numCache>
            </c:numRef>
          </c:yVal>
        </c:ser>
        <c:ser>
          <c:idx val="1"/>
          <c:order val="2"/>
          <c:tx>
            <c:v>150 ns</c:v>
          </c:tx>
          <c:spPr>
            <a:ln>
              <a:solidFill>
                <a:srgbClr val="00FF00"/>
              </a:solidFill>
            </a:ln>
          </c:spPr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9900"/>
                </a:solidFill>
              </a:ln>
            </c:spPr>
          </c:marker>
          <c:xVal>
            <c:numRef>
              <c:f>'Lumi Protons 2010'!$B$32:$B$44</c:f>
              <c:numCache>
                <c:formatCode>[$-409]dd\-mmm\-yy;@</c:formatCode>
                <c:ptCount val="13"/>
                <c:pt idx="0">
                  <c:v>40443</c:v>
                </c:pt>
                <c:pt idx="1">
                  <c:v>40444</c:v>
                </c:pt>
                <c:pt idx="2">
                  <c:v>40446</c:v>
                </c:pt>
                <c:pt idx="3">
                  <c:v>40451</c:v>
                </c:pt>
                <c:pt idx="4">
                  <c:v>40454</c:v>
                </c:pt>
                <c:pt idx="5">
                  <c:v>40455</c:v>
                </c:pt>
                <c:pt idx="6">
                  <c:v>40459</c:v>
                </c:pt>
                <c:pt idx="7">
                  <c:v>40462</c:v>
                </c:pt>
                <c:pt idx="8">
                  <c:v>40465</c:v>
                </c:pt>
                <c:pt idx="9">
                  <c:v>40467</c:v>
                </c:pt>
                <c:pt idx="10">
                  <c:v>40469</c:v>
                </c:pt>
                <c:pt idx="11">
                  <c:v>40475</c:v>
                </c:pt>
                <c:pt idx="12">
                  <c:v>40475</c:v>
                </c:pt>
              </c:numCache>
            </c:numRef>
          </c:xVal>
          <c:yVal>
            <c:numRef>
              <c:f>'Lumi Protons 2010'!$K$32:$K$44</c:f>
              <c:numCache>
                <c:formatCode>0.00E+00</c:formatCode>
                <c:ptCount val="13"/>
                <c:pt idx="0">
                  <c:v>4.5999999999999999E+30</c:v>
                </c:pt>
                <c:pt idx="1">
                  <c:v>1.99E+31</c:v>
                </c:pt>
                <c:pt idx="2">
                  <c:v>3.3999999999999998E+31</c:v>
                </c:pt>
                <c:pt idx="3">
                  <c:v>4.7999999999999996E+31</c:v>
                </c:pt>
                <c:pt idx="4">
                  <c:v>5.0999999999999997E+31</c:v>
                </c:pt>
                <c:pt idx="5">
                  <c:v>6.7999999999999996E+31</c:v>
                </c:pt>
                <c:pt idx="6">
                  <c:v>8.8000000000000004E+31</c:v>
                </c:pt>
                <c:pt idx="7">
                  <c:v>9.4000000000000005E+31</c:v>
                </c:pt>
                <c:pt idx="8">
                  <c:v>1.03E+32</c:v>
                </c:pt>
                <c:pt idx="9">
                  <c:v>1.3099999999999999E+32</c:v>
                </c:pt>
                <c:pt idx="10">
                  <c:v>1.45E+32</c:v>
                </c:pt>
                <c:pt idx="11">
                  <c:v>1.5200000000000001E+32</c:v>
                </c:pt>
                <c:pt idx="12">
                  <c:v>2.0499999999999999E+32</c:v>
                </c:pt>
              </c:numCache>
            </c:numRef>
          </c:yVal>
        </c:ser>
        <c:ser>
          <c:idx val="4"/>
          <c:order val="3"/>
          <c:tx>
            <c:v>High int. bunches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Protons 2011'!$B$18</c:f>
              <c:numCache>
                <c:formatCode>[$-409]dd\-mmm\-yy;@</c:formatCode>
                <c:ptCount val="1"/>
                <c:pt idx="0">
                  <c:v>40615</c:v>
                </c:pt>
              </c:numCache>
            </c:numRef>
          </c:xVal>
          <c:yVal>
            <c:numRef>
              <c:f>'Lumi Protons 2011'!$K$18</c:f>
              <c:numCache>
                <c:formatCode>0.00E+00</c:formatCode>
                <c:ptCount val="1"/>
                <c:pt idx="0">
                  <c:v>1.4999999999999999E+30</c:v>
                </c:pt>
              </c:numCache>
            </c:numRef>
          </c:yVal>
        </c:ser>
        <c:ser>
          <c:idx val="3"/>
          <c:order val="4"/>
          <c:tx>
            <c:v>75 ns</c:v>
          </c:tx>
          <c:spPr>
            <a:ln>
              <a:solidFill>
                <a:srgbClr val="D60093"/>
              </a:solidFill>
            </a:ln>
          </c:spPr>
          <c:marker>
            <c:symbol val="diamond"/>
            <c:size val="9"/>
            <c:spPr>
              <a:solidFill>
                <a:srgbClr val="D60093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'Lumi Protons 2011'!$B$19:$B$22</c:f>
              <c:numCache>
                <c:formatCode>[$-409]dd\-mmm\-yy;@</c:formatCode>
                <c:ptCount val="4"/>
                <c:pt idx="0">
                  <c:v>40620</c:v>
                </c:pt>
                <c:pt idx="1">
                  <c:v>40621</c:v>
                </c:pt>
                <c:pt idx="2">
                  <c:v>40622</c:v>
                </c:pt>
                <c:pt idx="3">
                  <c:v>40624</c:v>
                </c:pt>
              </c:numCache>
            </c:numRef>
          </c:xVal>
          <c:yVal>
            <c:numRef>
              <c:f>'Lumi Protons 2011'!$K$19:$K$22</c:f>
              <c:numCache>
                <c:formatCode>0.00E+00</c:formatCode>
                <c:ptCount val="4"/>
                <c:pt idx="0">
                  <c:v>2.9999999999999999E+31</c:v>
                </c:pt>
                <c:pt idx="1">
                  <c:v>6.5999999999999998E+31</c:v>
                </c:pt>
                <c:pt idx="2">
                  <c:v>1.5E+32</c:v>
                </c:pt>
                <c:pt idx="3">
                  <c:v>2.4999999999999999E+32</c:v>
                </c:pt>
              </c:numCache>
            </c:numRef>
          </c:yVal>
        </c:ser>
        <c:ser>
          <c:idx val="5"/>
          <c:order val="5"/>
          <c:tx>
            <c:v>50 ns</c:v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9"/>
            <c:spPr>
              <a:solidFill>
                <a:srgbClr val="0099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'Lumi Protons 2011'!$B$23:$B$52</c:f>
              <c:numCache>
                <c:formatCode>[$-409]dd\-mmm\-yy;@</c:formatCode>
                <c:ptCount val="30"/>
                <c:pt idx="0">
                  <c:v>40648</c:v>
                </c:pt>
                <c:pt idx="1">
                  <c:v>40650</c:v>
                </c:pt>
                <c:pt idx="2">
                  <c:v>40654</c:v>
                </c:pt>
                <c:pt idx="3">
                  <c:v>40655</c:v>
                </c:pt>
                <c:pt idx="4">
                  <c:v>40656</c:v>
                </c:pt>
                <c:pt idx="5">
                  <c:v>40660</c:v>
                </c:pt>
                <c:pt idx="6">
                  <c:v>40661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40684</c:v>
                </c:pt>
                <c:pt idx="11">
                  <c:v>40685</c:v>
                </c:pt>
                <c:pt idx="12">
                  <c:v>40686</c:v>
                </c:pt>
                <c:pt idx="13">
                  <c:v>40692</c:v>
                </c:pt>
                <c:pt idx="14">
                  <c:v>40718</c:v>
                </c:pt>
                <c:pt idx="15">
                  <c:v>40722</c:v>
                </c:pt>
                <c:pt idx="16">
                  <c:v>40746</c:v>
                </c:pt>
                <c:pt idx="17">
                  <c:v>40747</c:v>
                </c:pt>
                <c:pt idx="18">
                  <c:v>40748</c:v>
                </c:pt>
                <c:pt idx="19">
                  <c:v>40755</c:v>
                </c:pt>
                <c:pt idx="20">
                  <c:v>40762</c:v>
                </c:pt>
                <c:pt idx="21">
                  <c:v>40767</c:v>
                </c:pt>
                <c:pt idx="22">
                  <c:v>40773</c:v>
                </c:pt>
                <c:pt idx="23">
                  <c:v>40795</c:v>
                </c:pt>
                <c:pt idx="24">
                  <c:v>40798</c:v>
                </c:pt>
                <c:pt idx="25">
                  <c:v>40800</c:v>
                </c:pt>
                <c:pt idx="26">
                  <c:v>40801</c:v>
                </c:pt>
                <c:pt idx="27">
                  <c:v>40825</c:v>
                </c:pt>
                <c:pt idx="28">
                  <c:v>40831</c:v>
                </c:pt>
                <c:pt idx="29">
                  <c:v>40832</c:v>
                </c:pt>
              </c:numCache>
            </c:numRef>
          </c:xVal>
          <c:yVal>
            <c:numRef>
              <c:f>'Lumi Protons 2011'!$K$23:$K$52</c:f>
              <c:numCache>
                <c:formatCode>0.00E+00</c:formatCode>
                <c:ptCount val="30"/>
                <c:pt idx="0">
                  <c:v>2.3E+32</c:v>
                </c:pt>
                <c:pt idx="1">
                  <c:v>3.5000000000000001E+32</c:v>
                </c:pt>
                <c:pt idx="2">
                  <c:v>4.5999999999999999E+32</c:v>
                </c:pt>
                <c:pt idx="3">
                  <c:v>4.7000000000000002E+32</c:v>
                </c:pt>
                <c:pt idx="4">
                  <c:v>4.9999999999999997E+32</c:v>
                </c:pt>
                <c:pt idx="5">
                  <c:v>6.7999999999999996E+32</c:v>
                </c:pt>
                <c:pt idx="6">
                  <c:v>7.0000000000000002E+32</c:v>
                </c:pt>
                <c:pt idx="7">
                  <c:v>7.0999999999999998E+32</c:v>
                </c:pt>
                <c:pt idx="8">
                  <c:v>8.0000000000000004E+32</c:v>
                </c:pt>
                <c:pt idx="9">
                  <c:v>8.4000000000000002E+32</c:v>
                </c:pt>
                <c:pt idx="10">
                  <c:v>8.4999999999999998E+32</c:v>
                </c:pt>
                <c:pt idx="11">
                  <c:v>9.3500000000000007E+32</c:v>
                </c:pt>
                <c:pt idx="12">
                  <c:v>1.0800000000000001E+33</c:v>
                </c:pt>
                <c:pt idx="13">
                  <c:v>1.27E+33</c:v>
                </c:pt>
                <c:pt idx="14">
                  <c:v>1.26E+33</c:v>
                </c:pt>
                <c:pt idx="15">
                  <c:v>1.24E+33</c:v>
                </c:pt>
                <c:pt idx="16">
                  <c:v>1.55E+33</c:v>
                </c:pt>
                <c:pt idx="17">
                  <c:v>1.6700000000000001E+33</c:v>
                </c:pt>
                <c:pt idx="18">
                  <c:v>1.75E+33</c:v>
                </c:pt>
                <c:pt idx="19">
                  <c:v>2.04E+33</c:v>
                </c:pt>
                <c:pt idx="20">
                  <c:v>2.1000000000000001E+33</c:v>
                </c:pt>
                <c:pt idx="21">
                  <c:v>2.1999999999999999E+33</c:v>
                </c:pt>
                <c:pt idx="22">
                  <c:v>2.39E+33</c:v>
                </c:pt>
                <c:pt idx="23">
                  <c:v>2.9799999999999999E+33</c:v>
                </c:pt>
                <c:pt idx="24">
                  <c:v>3.0500000000000002E+33</c:v>
                </c:pt>
                <c:pt idx="25">
                  <c:v>3.25E+33</c:v>
                </c:pt>
                <c:pt idx="26">
                  <c:v>3.25E+33</c:v>
                </c:pt>
                <c:pt idx="27">
                  <c:v>3.3700000000000001E+33</c:v>
                </c:pt>
                <c:pt idx="28">
                  <c:v>3.2999999999999998E+33</c:v>
                </c:pt>
                <c:pt idx="29">
                  <c:v>3.4499999999999997E+33</c:v>
                </c:pt>
              </c:numCache>
            </c:numRef>
          </c:yVal>
        </c:ser>
        <c:axId val="88824064"/>
        <c:axId val="88842624"/>
      </c:scatterChart>
      <c:valAx>
        <c:axId val="88824064"/>
        <c:scaling>
          <c:orientation val="minMax"/>
          <c:max val="40850"/>
          <c:min val="40252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8842624"/>
        <c:crossesAt val="1E+26"/>
        <c:crossBetween val="midCat"/>
      </c:valAx>
      <c:valAx>
        <c:axId val="88842624"/>
        <c:scaling>
          <c:logBase val="10"/>
          <c:orientation val="minMax"/>
          <c:max val="4.9999999999999997E+33"/>
          <c:min val="1.0000000000000002E+28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Luminosity (cm-2s-1)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8824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4689655172413862"/>
          <c:y val="0.52262443438914563"/>
          <c:w val="0.23032419223459136"/>
          <c:h val="0.26270994406242204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Pb ion run 2011</a:t>
            </a:r>
          </a:p>
        </c:rich>
      </c:tx>
      <c:layout>
        <c:manualLayout>
          <c:xMode val="edge"/>
          <c:yMode val="edge"/>
          <c:x val="0.37517241379311378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00000000000002"/>
          <c:y val="0.20588235294117646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200 ns ions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Ions 2011'!$B$14:$B$19</c:f>
              <c:numCache>
                <c:formatCode>[$-409]dd\-mmm\-yy;@</c:formatCode>
                <c:ptCount val="6"/>
                <c:pt idx="0">
                  <c:v>40859</c:v>
                </c:pt>
                <c:pt idx="1">
                  <c:v>40860</c:v>
                </c:pt>
                <c:pt idx="2">
                  <c:v>40862</c:v>
                </c:pt>
                <c:pt idx="3">
                  <c:v>40862</c:v>
                </c:pt>
                <c:pt idx="4">
                  <c:v>40867</c:v>
                </c:pt>
                <c:pt idx="5">
                  <c:v>40873</c:v>
                </c:pt>
              </c:numCache>
            </c:numRef>
          </c:xVal>
          <c:yVal>
            <c:numRef>
              <c:f>'Lumi Ions 2011'!$K$14:$K$19</c:f>
              <c:numCache>
                <c:formatCode>0.0</c:formatCode>
                <c:ptCount val="6"/>
                <c:pt idx="0">
                  <c:v>11.214</c:v>
                </c:pt>
                <c:pt idx="1">
                  <c:v>47.93985</c:v>
                </c:pt>
                <c:pt idx="2">
                  <c:v>762.55200000000002</c:v>
                </c:pt>
                <c:pt idx="3">
                  <c:v>1786.5023400000002</c:v>
                </c:pt>
                <c:pt idx="4">
                  <c:v>1927.01376</c:v>
                </c:pt>
                <c:pt idx="5">
                  <c:v>2208.0365999999995</c:v>
                </c:pt>
              </c:numCache>
            </c:numRef>
          </c:yVal>
        </c:ser>
        <c:axId val="90169728"/>
        <c:axId val="90171648"/>
      </c:scatterChart>
      <c:valAx>
        <c:axId val="90169728"/>
        <c:scaling>
          <c:orientation val="minMax"/>
          <c:max val="40885"/>
          <c:min val="40850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0171648"/>
        <c:crosses val="autoZero"/>
        <c:crossBetween val="midCat"/>
      </c:valAx>
      <c:valAx>
        <c:axId val="90171648"/>
        <c:scaling>
          <c:logBase val="10"/>
          <c:orientation val="minMax"/>
          <c:max val="4000"/>
          <c:min val="10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Stored</a:t>
                </a:r>
                <a:r>
                  <a:rPr lang="en-US" baseline="0"/>
                  <a:t> Energy</a:t>
                </a:r>
                <a:r>
                  <a:rPr lang="en-US"/>
                  <a:t> (kJ)</a:t>
                </a:r>
              </a:p>
            </c:rich>
          </c:tx>
          <c:layout>
            <c:manualLayout>
              <c:xMode val="edge"/>
              <c:yMode val="edge"/>
              <c:x val="5.5172413793103513E-3"/>
              <c:y val="0.40365373948101829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0169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275862068965532"/>
          <c:y val="0.68299933030278726"/>
          <c:w val="0.18894488188977565"/>
          <c:h val="9.063099013075856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Pb ion run 2011</a:t>
            </a:r>
          </a:p>
        </c:rich>
      </c:tx>
      <c:layout>
        <c:manualLayout>
          <c:xMode val="edge"/>
          <c:yMode val="edge"/>
          <c:x val="0.33931034482760197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44827586208373"/>
          <c:y val="0.14479638009050938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200 ns  ion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Ions 2011'!$B$14:$B$19</c:f>
              <c:numCache>
                <c:formatCode>[$-409]dd\-mmm\-yy;@</c:formatCode>
                <c:ptCount val="6"/>
                <c:pt idx="0">
                  <c:v>40859</c:v>
                </c:pt>
                <c:pt idx="1">
                  <c:v>40860</c:v>
                </c:pt>
                <c:pt idx="2">
                  <c:v>40862</c:v>
                </c:pt>
                <c:pt idx="3">
                  <c:v>40862</c:v>
                </c:pt>
                <c:pt idx="4">
                  <c:v>40867</c:v>
                </c:pt>
                <c:pt idx="5">
                  <c:v>40873</c:v>
                </c:pt>
              </c:numCache>
            </c:numRef>
          </c:xVal>
          <c:yVal>
            <c:numRef>
              <c:f>'Lumi Ions 2011'!$I$14:$I$19</c:f>
              <c:numCache>
                <c:formatCode>0.00E+00</c:formatCode>
                <c:ptCount val="6"/>
                <c:pt idx="0">
                  <c:v>9.9999999999999998E+23</c:v>
                </c:pt>
                <c:pt idx="1">
                  <c:v>1.2E+25</c:v>
                </c:pt>
                <c:pt idx="2">
                  <c:v>1.5E+26</c:v>
                </c:pt>
                <c:pt idx="3">
                  <c:v>3.4999999999999999E+26</c:v>
                </c:pt>
                <c:pt idx="4">
                  <c:v>3.8000000000000002E+26</c:v>
                </c:pt>
                <c:pt idx="5">
                  <c:v>4.8000000000000001E+26</c:v>
                </c:pt>
              </c:numCache>
            </c:numRef>
          </c:yVal>
        </c:ser>
        <c:axId val="90081152"/>
        <c:axId val="90103808"/>
      </c:scatterChart>
      <c:valAx>
        <c:axId val="90081152"/>
        <c:scaling>
          <c:orientation val="minMax"/>
          <c:max val="40885"/>
          <c:min val="40850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0103808"/>
        <c:crossesAt val="1E+22"/>
        <c:crossBetween val="midCat"/>
      </c:valAx>
      <c:valAx>
        <c:axId val="90103808"/>
        <c:scaling>
          <c:logBase val="10"/>
          <c:orientation val="minMax"/>
          <c:max val="5.9999999999999999E+26"/>
          <c:min val="1.0000000000000003E+23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Luminosity (cm-2s-1)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0081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620689655172745"/>
          <c:y val="0.50904977375565608"/>
          <c:w val="0.19446212326907411"/>
          <c:h val="9.063099013075856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70C0"/>
                </a:solidFill>
                <a:latin typeface="Verdana"/>
                <a:ea typeface="Verdana"/>
                <a:cs typeface="Verdana"/>
              </a:defRPr>
            </a:pPr>
            <a:r>
              <a:rPr lang="en-US" sz="2400" b="1">
                <a:solidFill>
                  <a:srgbClr val="0070C0"/>
                </a:solidFill>
              </a:rPr>
              <a:t>LHC Pb ion run 2010</a:t>
            </a:r>
          </a:p>
        </c:rich>
      </c:tx>
      <c:layout>
        <c:manualLayout>
          <c:xMode val="edge"/>
          <c:yMode val="edge"/>
          <c:x val="0.37517241379311367"/>
          <c:y val="4.2986425339367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00000000000002"/>
          <c:y val="0.20588235294117646"/>
          <c:w val="0.70344827586206859"/>
          <c:h val="0.70135746606334803"/>
        </c:manualLayout>
      </c:layout>
      <c:scatterChart>
        <c:scatterStyle val="lineMarker"/>
        <c:ser>
          <c:idx val="2"/>
          <c:order val="0"/>
          <c:tx>
            <c:v>Early ion</c:v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'Lumi Ions 2010'!$B$14:$B$22</c:f>
              <c:numCache>
                <c:formatCode>[$-409]dd\-mmm\-yy;@</c:formatCode>
                <c:ptCount val="9"/>
                <c:pt idx="0">
                  <c:v>40488</c:v>
                </c:pt>
                <c:pt idx="1">
                  <c:v>40490</c:v>
                </c:pt>
                <c:pt idx="2">
                  <c:v>40491</c:v>
                </c:pt>
                <c:pt idx="3">
                  <c:v>40493</c:v>
                </c:pt>
                <c:pt idx="4">
                  <c:v>40495</c:v>
                </c:pt>
                <c:pt idx="5">
                  <c:v>40497</c:v>
                </c:pt>
                <c:pt idx="6">
                  <c:v>40498</c:v>
                </c:pt>
                <c:pt idx="7">
                  <c:v>40509</c:v>
                </c:pt>
                <c:pt idx="8">
                  <c:v>40513</c:v>
                </c:pt>
              </c:numCache>
            </c:numRef>
          </c:xVal>
          <c:yVal>
            <c:numRef>
              <c:f>'Lumi Ions 2010'!$K$14:$K$22</c:f>
              <c:numCache>
                <c:formatCode>0.0</c:formatCode>
                <c:ptCount val="9"/>
                <c:pt idx="0">
                  <c:v>11.214</c:v>
                </c:pt>
                <c:pt idx="1">
                  <c:v>28.035</c:v>
                </c:pt>
                <c:pt idx="2">
                  <c:v>83.880719999999997</c:v>
                </c:pt>
                <c:pt idx="3">
                  <c:v>212.78565</c:v>
                </c:pt>
                <c:pt idx="4">
                  <c:v>278.55576000000002</c:v>
                </c:pt>
                <c:pt idx="5">
                  <c:v>502.05078000000003</c:v>
                </c:pt>
                <c:pt idx="6">
                  <c:v>529.18865999999991</c:v>
                </c:pt>
                <c:pt idx="7">
                  <c:v>529.18865999999991</c:v>
                </c:pt>
                <c:pt idx="8">
                  <c:v>610.60230000000001</c:v>
                </c:pt>
              </c:numCache>
            </c:numRef>
          </c:yVal>
        </c:ser>
        <c:axId val="90705920"/>
        <c:axId val="90707840"/>
      </c:scatterChart>
      <c:valAx>
        <c:axId val="90705920"/>
        <c:scaling>
          <c:orientation val="minMax"/>
          <c:max val="40520"/>
          <c:min val="40487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numFmt formatCode="[$-409]dd\-mmm\-yy;@" sourceLinked="0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0707840"/>
        <c:crosses val="autoZero"/>
        <c:crossBetween val="midCat"/>
      </c:valAx>
      <c:valAx>
        <c:axId val="90707840"/>
        <c:scaling>
          <c:logBase val="10"/>
          <c:orientation val="minMax"/>
          <c:max val="1000"/>
          <c:min val="10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Stored</a:t>
                </a:r>
                <a:r>
                  <a:rPr lang="en-US" baseline="0"/>
                  <a:t> Energy</a:t>
                </a:r>
                <a:r>
                  <a:rPr lang="en-US"/>
                  <a:t> (kJ)</a:t>
                </a:r>
              </a:p>
            </c:rich>
          </c:tx>
          <c:layout>
            <c:manualLayout>
              <c:xMode val="edge"/>
              <c:yMode val="edge"/>
              <c:x val="1.3793103448276021E-2"/>
              <c:y val="0.2941176470588238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0705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89655172413789"/>
          <c:y val="0.52406462239900464"/>
          <c:w val="0.18894488188977551"/>
          <c:h val="9.063099013075856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52450" y="6029325"/>
    <xdr:ext cx="9207500" cy="561340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62000" y="11772900"/>
    <xdr:ext cx="9207500" cy="5613400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029449" y="3162300"/>
    <xdr:ext cx="9334501" cy="537209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086600" y="8915400"/>
    <xdr:ext cx="9239251" cy="5372098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0.4423</cdr:x>
      <cdr:y>0.25324</cdr:y>
    </cdr:from>
    <cdr:to>
      <cdr:x>0.80191</cdr:x>
      <cdr:y>0.42731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28623" y="1360430"/>
          <a:ext cx="3356780" cy="935122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22225">
          <a:solidFill>
            <a:srgbClr val="C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Peak</a:t>
          </a:r>
          <a:r>
            <a:rPr lang="en-US" sz="1600" baseline="0"/>
            <a:t> </a:t>
          </a:r>
          <a:r>
            <a:rPr lang="en-US" sz="1600"/>
            <a:t>Luminosity      =</a:t>
          </a:r>
          <a:r>
            <a:rPr lang="en-US" sz="1600" baseline="0"/>
            <a:t> 1.5×10</a:t>
          </a:r>
          <a:r>
            <a:rPr lang="en-US" sz="1600" baseline="30000"/>
            <a:t>26</a:t>
          </a:r>
          <a:r>
            <a:rPr lang="en-US" sz="1600" baseline="0"/>
            <a:t> cm</a:t>
          </a:r>
          <a:r>
            <a:rPr lang="en-US" sz="1600" baseline="30000"/>
            <a:t>-2</a:t>
          </a:r>
          <a:r>
            <a:rPr lang="en-US" sz="1600" baseline="0"/>
            <a:t>s</a:t>
          </a:r>
          <a:r>
            <a:rPr lang="en-US" sz="1600" baseline="30000"/>
            <a:t>-1</a:t>
          </a:r>
          <a:endParaRPr lang="en-US" sz="1600" baseline="0"/>
        </a:p>
        <a:p xmlns:a="http://schemas.openxmlformats.org/drawingml/2006/main">
          <a:r>
            <a:rPr lang="en-US" sz="1600" baseline="0"/>
            <a:t>Luminosity lifetime = 6 hours</a:t>
          </a:r>
        </a:p>
        <a:p xmlns:a="http://schemas.openxmlformats.org/drawingml/2006/main">
          <a:r>
            <a:rPr lang="en-US" sz="1600" baseline="0"/>
            <a:t>Turn-around time    = 5 hours</a:t>
          </a:r>
        </a:p>
        <a:p xmlns:a="http://schemas.openxmlformats.org/drawingml/2006/main">
          <a:endParaRPr lang="en-US" sz="1600"/>
        </a:p>
      </cdr:txBody>
    </cdr:sp>
  </cdr:relSizeAnchor>
  <cdr:relSizeAnchor xmlns:cdr="http://schemas.openxmlformats.org/drawingml/2006/chartDrawing">
    <cdr:from>
      <cdr:x>0.39286</cdr:x>
      <cdr:y>0.92021</cdr:y>
    </cdr:from>
    <cdr:to>
      <cdr:x>0.62653</cdr:x>
      <cdr:y>0.98582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667126" y="4943475"/>
          <a:ext cx="2181225" cy="352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latin typeface="Verdana" pitchFamily="34" charset="0"/>
              <a:ea typeface="Verdana" pitchFamily="34" charset="0"/>
              <a:cs typeface="Verdana" pitchFamily="34" charset="0"/>
            </a:rPr>
            <a:t>Fill length (hours)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0.5484</cdr:x>
      <cdr:y>0.34899</cdr:y>
    </cdr:from>
    <cdr:to>
      <cdr:x>0.90801</cdr:x>
      <cdr:y>0.52306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66777" y="1874785"/>
          <a:ext cx="3322527" cy="9351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22225">
          <a:solidFill>
            <a:srgbClr val="C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Peak</a:t>
          </a:r>
          <a:r>
            <a:rPr lang="en-US" sz="1600" baseline="0"/>
            <a:t> </a:t>
          </a:r>
          <a:r>
            <a:rPr lang="en-US" sz="1600"/>
            <a:t>Luminosity      =</a:t>
          </a:r>
          <a:r>
            <a:rPr lang="en-US" sz="1600" baseline="0"/>
            <a:t> 1.5×10</a:t>
          </a:r>
          <a:r>
            <a:rPr lang="en-US" sz="1600" baseline="30000"/>
            <a:t>26</a:t>
          </a:r>
          <a:r>
            <a:rPr lang="en-US" sz="1600" baseline="0"/>
            <a:t> cm</a:t>
          </a:r>
          <a:r>
            <a:rPr lang="en-US" sz="1600" baseline="30000"/>
            <a:t>-2</a:t>
          </a:r>
          <a:r>
            <a:rPr lang="en-US" sz="1600" baseline="0"/>
            <a:t>s</a:t>
          </a:r>
          <a:r>
            <a:rPr lang="en-US" sz="1600" baseline="30000"/>
            <a:t>-1</a:t>
          </a:r>
          <a:endParaRPr lang="en-US" sz="1600" baseline="0"/>
        </a:p>
        <a:p xmlns:a="http://schemas.openxmlformats.org/drawingml/2006/main">
          <a:r>
            <a:rPr lang="en-US" sz="1600" baseline="0"/>
            <a:t>Luminosity lifetime = 6 hours</a:t>
          </a:r>
        </a:p>
        <a:p xmlns:a="http://schemas.openxmlformats.org/drawingml/2006/main">
          <a:r>
            <a:rPr lang="en-US" sz="1600" baseline="0"/>
            <a:t>Turn-around time    = 5 hours</a:t>
          </a:r>
        </a:p>
        <a:p xmlns:a="http://schemas.openxmlformats.org/drawingml/2006/main">
          <a:endParaRPr lang="en-US" sz="1600"/>
        </a:p>
      </cdr:txBody>
    </cdr:sp>
  </cdr:relSizeAnchor>
  <cdr:relSizeAnchor xmlns:cdr="http://schemas.openxmlformats.org/drawingml/2006/chartDrawing">
    <cdr:from>
      <cdr:x>0.39286</cdr:x>
      <cdr:y>0.92021</cdr:y>
    </cdr:from>
    <cdr:to>
      <cdr:x>0.62653</cdr:x>
      <cdr:y>0.98582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667126" y="4943475"/>
          <a:ext cx="2181225" cy="352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latin typeface="Verdana" pitchFamily="34" charset="0"/>
              <a:ea typeface="Verdana" pitchFamily="34" charset="0"/>
              <a:cs typeface="Verdana" pitchFamily="34" charset="0"/>
            </a:rPr>
            <a:t>Fill length (hours)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609600" y="4572000"/>
    <xdr:ext cx="9207500" cy="5613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09600" y="10858500"/>
    <xdr:ext cx="9207500" cy="56134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853440" y="8585835"/>
    <xdr:ext cx="9207500" cy="56134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99160" y="14493240"/>
    <xdr:ext cx="9207500" cy="56134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05790" y="10452735"/>
    <xdr:ext cx="9207500" cy="56134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84835" y="16960215"/>
    <xdr:ext cx="9207500" cy="56134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0401300" y="10487025"/>
    <xdr:ext cx="9207500" cy="561340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0325100" y="16983075"/>
    <xdr:ext cx="9207500" cy="5613400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71525" y="4764405"/>
    <xdr:ext cx="9207500" cy="5913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09600" y="11308080"/>
    <xdr:ext cx="9207500" cy="56134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590550" y="4764405"/>
    <xdr:ext cx="9207500" cy="5913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09600" y="11308080"/>
    <xdr:ext cx="9207500" cy="56134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391399" y="2809875"/>
    <xdr:ext cx="9334501" cy="537209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381875" y="8734425"/>
    <xdr:ext cx="9334501" cy="5372098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0.45046</cdr:x>
      <cdr:y>0.62026</cdr:y>
    </cdr:from>
    <cdr:to>
      <cdr:x>0.81007</cdr:x>
      <cdr:y>0.79433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04787" y="3332098"/>
          <a:ext cx="3356780" cy="9351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22225">
          <a:solidFill>
            <a:srgbClr val="C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Peak</a:t>
          </a:r>
          <a:r>
            <a:rPr lang="en-US" sz="1600" baseline="0"/>
            <a:t> </a:t>
          </a:r>
          <a:r>
            <a:rPr lang="en-US" sz="1600"/>
            <a:t>Luminosity      =</a:t>
          </a:r>
          <a:r>
            <a:rPr lang="en-US" sz="1600" baseline="0"/>
            <a:t> 5.3×10</a:t>
          </a:r>
          <a:r>
            <a:rPr lang="en-US" sz="1600" baseline="30000"/>
            <a:t>33</a:t>
          </a:r>
          <a:r>
            <a:rPr lang="en-US" sz="1600" baseline="0"/>
            <a:t> cm</a:t>
          </a:r>
          <a:r>
            <a:rPr lang="en-US" sz="1600" baseline="30000"/>
            <a:t>-2</a:t>
          </a:r>
          <a:r>
            <a:rPr lang="en-US" sz="1600" baseline="0"/>
            <a:t>s</a:t>
          </a:r>
          <a:r>
            <a:rPr lang="en-US" sz="1600" baseline="30000"/>
            <a:t>-1</a:t>
          </a:r>
          <a:endParaRPr lang="en-US" sz="1600" baseline="0"/>
        </a:p>
        <a:p xmlns:a="http://schemas.openxmlformats.org/drawingml/2006/main">
          <a:r>
            <a:rPr lang="en-US" sz="1600" baseline="0"/>
            <a:t>Luminosity lifetime = 16 hours</a:t>
          </a:r>
        </a:p>
        <a:p xmlns:a="http://schemas.openxmlformats.org/drawingml/2006/main">
          <a:r>
            <a:rPr lang="en-US" sz="1600" baseline="0"/>
            <a:t>Turn-around time    = 4 hours</a:t>
          </a:r>
        </a:p>
        <a:p xmlns:a="http://schemas.openxmlformats.org/drawingml/2006/main">
          <a:endParaRPr lang="en-US" sz="1600"/>
        </a:p>
      </cdr:txBody>
    </cdr:sp>
  </cdr:relSizeAnchor>
  <cdr:relSizeAnchor xmlns:cdr="http://schemas.openxmlformats.org/drawingml/2006/chartDrawing">
    <cdr:from>
      <cdr:x>0.39286</cdr:x>
      <cdr:y>0.92021</cdr:y>
    </cdr:from>
    <cdr:to>
      <cdr:x>0.62653</cdr:x>
      <cdr:y>0.98582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667126" y="4943475"/>
          <a:ext cx="2181225" cy="352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latin typeface="Verdana" pitchFamily="34" charset="0"/>
              <a:ea typeface="Verdana" pitchFamily="34" charset="0"/>
              <a:cs typeface="Verdana" pitchFamily="34" charset="0"/>
            </a:rPr>
            <a:t>Fill length (hours)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0.45046</cdr:x>
      <cdr:y>0.62026</cdr:y>
    </cdr:from>
    <cdr:to>
      <cdr:x>0.81007</cdr:x>
      <cdr:y>0.79433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04787" y="3332098"/>
          <a:ext cx="3356780" cy="9351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22225">
          <a:solidFill>
            <a:srgbClr val="C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Peak</a:t>
          </a:r>
          <a:r>
            <a:rPr lang="en-US" sz="1600" baseline="0"/>
            <a:t> </a:t>
          </a:r>
          <a:r>
            <a:rPr lang="en-US" sz="1600"/>
            <a:t>Luminosity      =</a:t>
          </a:r>
          <a:r>
            <a:rPr lang="en-US" sz="1600" baseline="0"/>
            <a:t> 5.3×10</a:t>
          </a:r>
          <a:r>
            <a:rPr lang="en-US" sz="1600" baseline="30000"/>
            <a:t>33</a:t>
          </a:r>
          <a:r>
            <a:rPr lang="en-US" sz="1600" baseline="0"/>
            <a:t> cm</a:t>
          </a:r>
          <a:r>
            <a:rPr lang="en-US" sz="1600" baseline="30000"/>
            <a:t>-2</a:t>
          </a:r>
          <a:r>
            <a:rPr lang="en-US" sz="1600" baseline="0"/>
            <a:t>s</a:t>
          </a:r>
          <a:r>
            <a:rPr lang="en-US" sz="1600" baseline="30000"/>
            <a:t>-1</a:t>
          </a:r>
          <a:endParaRPr lang="en-US" sz="1600" baseline="0"/>
        </a:p>
        <a:p xmlns:a="http://schemas.openxmlformats.org/drawingml/2006/main">
          <a:r>
            <a:rPr lang="en-US" sz="1600" baseline="0"/>
            <a:t>Luminosity lifetime = 16 hours</a:t>
          </a:r>
        </a:p>
        <a:p xmlns:a="http://schemas.openxmlformats.org/drawingml/2006/main">
          <a:r>
            <a:rPr lang="en-US" sz="1600" baseline="0"/>
            <a:t>Turn-around time    = 4 hours</a:t>
          </a:r>
        </a:p>
        <a:p xmlns:a="http://schemas.openxmlformats.org/drawingml/2006/main">
          <a:endParaRPr lang="en-US" sz="1600"/>
        </a:p>
      </cdr:txBody>
    </cdr:sp>
  </cdr:relSizeAnchor>
  <cdr:relSizeAnchor xmlns:cdr="http://schemas.openxmlformats.org/drawingml/2006/chartDrawing">
    <cdr:from>
      <cdr:x>0.39286</cdr:x>
      <cdr:y>0.92021</cdr:y>
    </cdr:from>
    <cdr:to>
      <cdr:x>0.62653</cdr:x>
      <cdr:y>0.98582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667126" y="4943475"/>
          <a:ext cx="2181225" cy="352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latin typeface="Verdana" pitchFamily="34" charset="0"/>
              <a:ea typeface="Verdana" pitchFamily="34" charset="0"/>
              <a:cs typeface="Verdana" pitchFamily="34" charset="0"/>
            </a:rPr>
            <a:t>Fill length (hours)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5543549" y="238125"/>
    <xdr:ext cx="9334501" cy="537209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0.39286</cdr:x>
      <cdr:y>0.92021</cdr:y>
    </cdr:from>
    <cdr:to>
      <cdr:x>0.68163</cdr:x>
      <cdr:y>0.98582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667152" y="4943458"/>
          <a:ext cx="2695549" cy="35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latin typeface="Verdana" pitchFamily="34" charset="0"/>
              <a:ea typeface="Verdana" pitchFamily="34" charset="0"/>
              <a:cs typeface="Verdana" pitchFamily="34" charset="0"/>
            </a:rPr>
            <a:t>Luminosity</a:t>
          </a:r>
          <a:r>
            <a:rPr lang="en-US" sz="1600" baseline="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600">
              <a:latin typeface="Verdana" pitchFamily="34" charset="0"/>
              <a:ea typeface="Verdana" pitchFamily="34" charset="0"/>
              <a:cs typeface="Verdana" pitchFamily="34" charset="0"/>
            </a:rPr>
            <a:t>(10</a:t>
          </a:r>
          <a:r>
            <a:rPr lang="en-US" sz="1600" baseline="30000">
              <a:latin typeface="Verdana" pitchFamily="34" charset="0"/>
              <a:ea typeface="Verdana" pitchFamily="34" charset="0"/>
              <a:cs typeface="Verdana" pitchFamily="34" charset="0"/>
            </a:rPr>
            <a:t>33</a:t>
          </a:r>
          <a:r>
            <a:rPr lang="en-US" sz="1600" baseline="0">
              <a:latin typeface="Verdana" pitchFamily="34" charset="0"/>
              <a:ea typeface="Verdana" pitchFamily="34" charset="0"/>
              <a:cs typeface="Verdana" pitchFamily="34" charset="0"/>
            </a:rPr>
            <a:t> cm</a:t>
          </a:r>
          <a:r>
            <a:rPr lang="en-US" sz="1600" baseline="30000">
              <a:latin typeface="Verdana" pitchFamily="34" charset="0"/>
              <a:ea typeface="Verdana" pitchFamily="34" charset="0"/>
              <a:cs typeface="Verdana" pitchFamily="34" charset="0"/>
            </a:rPr>
            <a:t>-2</a:t>
          </a:r>
          <a:r>
            <a:rPr lang="en-US" sz="1600" baseline="0">
              <a:latin typeface="Verdana" pitchFamily="34" charset="0"/>
              <a:ea typeface="Verdana" pitchFamily="34" charset="0"/>
              <a:cs typeface="Verdana" pitchFamily="34" charset="0"/>
            </a:rPr>
            <a:t>s</a:t>
          </a:r>
          <a:r>
            <a:rPr lang="en-US" sz="1600" baseline="30000">
              <a:latin typeface="Verdana" pitchFamily="34" charset="0"/>
              <a:ea typeface="Verdana" pitchFamily="34" charset="0"/>
              <a:cs typeface="Verdana" pitchFamily="34" charset="0"/>
            </a:rPr>
            <a:t>-1</a:t>
          </a:r>
          <a:r>
            <a:rPr lang="en-US" sz="1600">
              <a:latin typeface="Verdana" pitchFamily="34" charset="0"/>
              <a:ea typeface="Verdana" pitchFamily="34" charset="0"/>
              <a:cs typeface="Verdana" pitchFamily="34" charset="0"/>
            </a:rPr>
            <a:t>)</a:t>
          </a:r>
        </a:p>
      </cdr:txBody>
    </cdr:sp>
  </cdr:relSizeAnchor>
</c:userShapes>
</file>

<file path=xl/tables/table1.xml><?xml version="1.0" encoding="utf-8"?>
<table xmlns="http://schemas.openxmlformats.org/spreadsheetml/2006/main" id="11" name="Table1512" displayName="Table1512" ref="B17:O28" totalsRowShown="0">
  <autoFilter ref="B17:O28">
    <filterColumn colId="1"/>
    <filterColumn colId="6"/>
    <filterColumn colId="7"/>
    <filterColumn colId="8"/>
    <filterColumn colId="11"/>
    <filterColumn colId="12"/>
    <filterColumn colId="13"/>
  </autoFilter>
  <tableColumns count="14">
    <tableColumn id="1" name="Date" dataDxfId="52"/>
    <tableColumn id="8" name="Schema"/>
    <tableColumn id="2" name="Nb"/>
    <tableColumn id="3" name="Ib" dataDxfId="51"/>
    <tableColumn id="4" name="Nc"/>
    <tableColumn id="5" name="beta*"/>
    <tableColumn id="9" name="Emittance"/>
    <tableColumn id="12" name="Xing angle"/>
    <tableColumn id="13" name="Xing factor"/>
    <tableColumn id="6" name="L measured" dataDxfId="50"/>
    <tableColumn id="7" name="L theor" dataDxfId="49">
      <calculatedColumnFormula>L_factor*F18*(betaStar_ref/G18)*(Emittance_ref/H18)*E18*E18*J18</calculatedColumnFormula>
    </tableColumn>
    <tableColumn id="11" name="Stored E (MJ)" dataDxfId="48">
      <calculatedColumnFormula>Energy*D18*E18*1.602E-19*1000000000*0.001*0.001</calculatedColumnFormula>
    </tableColumn>
    <tableColumn id="10" name="ksi/IP" dataDxfId="47">
      <calculatedColumnFormula>rp*Table1512[[#This Row],[Ib]]/(4*PI()*Table1512[[#This Row],[Emittance]]*0.000001)</calculatedColumnFormula>
    </tableColumn>
    <tableColumn id="14" name="mu" dataDxfId="46">
      <calculatedColumnFormula>70*0.001*1E-28*Table1512[[#This Row],[L measured]]/Table1512[[#This Row],[Nc]]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3" name="Table3" displayName="Table3" ref="B4:E21" totalsRowShown="0">
  <autoFilter ref="B4:E21"/>
  <tableColumns count="4">
    <tableColumn id="1" name="Date" dataDxfId="9"/>
    <tableColumn id="2" name="Nb"/>
    <tableColumn id="3" name="Ib" dataDxfId="8"/>
    <tableColumn id="4" name="Stored E (kJ)" dataDxfId="7">
      <calculatedColumnFormula>Energy*C5*D5*1.602E-19*1000000000*0.001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" name="Table1" displayName="Table1" ref="B10:N44" totalsRowShown="0">
  <autoFilter ref="B10:N44">
    <filterColumn colId="1"/>
    <filterColumn colId="2"/>
    <filterColumn colId="7"/>
    <filterColumn colId="8"/>
    <filterColumn colId="11"/>
    <filterColumn colId="12"/>
  </autoFilter>
  <tableColumns count="13">
    <tableColumn id="1" name="Date" dataDxfId="6"/>
    <tableColumn id="10" name="Day" dataDxfId="5">
      <calculatedColumnFormula>31+28+31+19</calculatedColumnFormula>
    </tableColumn>
    <tableColumn id="8" name="Schema"/>
    <tableColumn id="2" name="Nb"/>
    <tableColumn id="3" name="Ib" dataDxfId="4"/>
    <tableColumn id="4" name="Nc"/>
    <tableColumn id="5" name="beta*"/>
    <tableColumn id="12" name="Xing angle"/>
    <tableColumn id="13" name="Xing factor"/>
    <tableColumn id="6" name="L measured" dataDxfId="3"/>
    <tableColumn id="7" name="L theoretical" dataDxfId="2">
      <calculatedColumnFormula>L_factor*G11*(2/H11)*F11*F11*J11</calculatedColumnFormula>
    </tableColumn>
    <tableColumn id="11" name="Stored E (kJ)" dataDxfId="1">
      <calculatedColumnFormula>Energy*E11*F11*1.602E-19*1000000000*0.001*0.001</calculatedColumnFormula>
    </tableColumn>
    <tableColumn id="14" name="Comme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B17:O53" totalsRowShown="0">
  <autoFilter ref="B17:O53">
    <filterColumn colId="1"/>
    <filterColumn colId="6"/>
    <filterColumn colId="7"/>
    <filterColumn colId="8"/>
    <filterColumn colId="11"/>
    <filterColumn colId="12"/>
    <filterColumn colId="13"/>
  </autoFilter>
  <tableColumns count="14">
    <tableColumn id="1" name="Date" dataDxfId="45"/>
    <tableColumn id="8" name="Schema"/>
    <tableColumn id="2" name="Nb"/>
    <tableColumn id="3" name="Ib" dataDxfId="44"/>
    <tableColumn id="4" name="Nc"/>
    <tableColumn id="5" name="beta*"/>
    <tableColumn id="9" name="Emittance"/>
    <tableColumn id="12" name="Xing angle"/>
    <tableColumn id="13" name="Xing factor"/>
    <tableColumn id="6" name="L measured" dataDxfId="43"/>
    <tableColumn id="7" name="L theor" dataDxfId="42">
      <calculatedColumnFormula>L_factor*F18*(betaStar_ref/G18)*(Emittance_ref/H18)*E18*E18*J18</calculatedColumnFormula>
    </tableColumn>
    <tableColumn id="11" name="Stored E (kJ)" dataDxfId="41">
      <calculatedColumnFormula>Energy*D18*E18*1.602E-19*1000000000*0.001*0.001</calculatedColumnFormula>
    </tableColumn>
    <tableColumn id="10" name="ksi/IP" dataDxfId="40">
      <calculatedColumnFormula>rp*Table15[[#This Row],[Ib]]/(4*PI()*Table15[[#This Row],[Emittance]]*0.000001)</calculatedColumnFormula>
    </tableColumn>
    <tableColumn id="14" name="mu" dataDxfId="0">
      <calculatedColumnFormula>70*0.001*1E-28*Table15[[#This Row],[L measured]]/Table15[[#This Row],[Nc]]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9" name="Table1510" displayName="Table1510" ref="R15:AD22" totalsRowShown="0">
  <autoFilter ref="R15:AD22"/>
  <tableColumns count="13">
    <tableColumn id="1" name="Date" dataDxfId="39"/>
    <tableColumn id="8" name="Schema"/>
    <tableColumn id="2" name="Nb"/>
    <tableColumn id="3" name="Ib" dataDxfId="38"/>
    <tableColumn id="4" name="Nc"/>
    <tableColumn id="5" name="beta*"/>
    <tableColumn id="9" name="Emittance"/>
    <tableColumn id="12" name="Xing angle"/>
    <tableColumn id="13" name="Xing factor"/>
    <tableColumn id="6" name="L measured" dataDxfId="37"/>
    <tableColumn id="7" name="L theor" dataDxfId="36">
      <calculatedColumnFormula>L_factor*V16*(betaStar_ref/W16)*(Emittance_ref/X16)*U16*U16*Z16</calculatedColumnFormula>
    </tableColumn>
    <tableColumn id="11" name="Stored E (kJ)" dataDxfId="35">
      <calculatedColumnFormula>Energy*T16*U16*1.602E-19*1000000000*0.001*0.001</calculatedColumnFormula>
    </tableColumn>
    <tableColumn id="10" name="ksi/IP" dataDxfId="34">
      <calculatedColumnFormula>rp*Table1510[[#This Row],[Ib]]/(4*PI()*Table1510[[#This Row],[Emittance]]*0.000001)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0" name="Table1311" displayName="Table1311" ref="B13:K19" totalsRowShown="0">
  <autoFilter ref="B13:K19">
    <filterColumn colId="1"/>
    <filterColumn colId="4"/>
    <filterColumn colId="9"/>
  </autoFilter>
  <tableColumns count="10">
    <tableColumn id="1" name="Date" dataDxfId="33"/>
    <tableColumn id="8" name="Schema"/>
    <tableColumn id="2" name="Nb"/>
    <tableColumn id="3" name="Ib" dataDxfId="32"/>
    <tableColumn id="9" name="N ions" dataDxfId="31">
      <calculatedColumnFormula>E14/Zion</calculatedColumnFormula>
    </tableColumn>
    <tableColumn id="4" name="Nc"/>
    <tableColumn id="5" name="beta*"/>
    <tableColumn id="6" name="L measured" dataDxfId="30"/>
    <tableColumn id="7" name="L theoretical" dataDxfId="29">
      <calculatedColumnFormula>L_factor*G14*(1/H14)*F14*F14</calculatedColumnFormula>
    </tableColumn>
    <tableColumn id="11" name="Stored E (kJ)" dataDxfId="28">
      <calculatedColumnFormula>Energy*D14*E14*1.602E-19*1000000000*0.001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2" name="Table13" displayName="Table13" ref="B13:K22" totalsRowShown="0">
  <autoFilter ref="B13:K22">
    <filterColumn colId="1"/>
    <filterColumn colId="4"/>
    <filterColumn colId="9"/>
  </autoFilter>
  <tableColumns count="10">
    <tableColumn id="1" name="Date" dataDxfId="27"/>
    <tableColumn id="8" name="Schema"/>
    <tableColumn id="2" name="Nb"/>
    <tableColumn id="3" name="Ib" dataDxfId="26"/>
    <tableColumn id="9" name="N ions" dataDxfId="25">
      <calculatedColumnFormula>E14/Zion</calculatedColumnFormula>
    </tableColumn>
    <tableColumn id="4" name="Nc"/>
    <tableColumn id="5" name="beta*"/>
    <tableColumn id="6" name="L measured" dataDxfId="24"/>
    <tableColumn id="7" name="L theoretical" dataDxfId="23">
      <calculatedColumnFormula>L_factor*G14*(2/H14)*F14*F14/(H14)</calculatedColumnFormula>
    </tableColumn>
    <tableColumn id="11" name="Stored E (kJ)" dataDxfId="22">
      <calculatedColumnFormula>Energy*D14*E14*1.602E-19*1000000000*0.001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C4:G18" totalsRowShown="0">
  <autoFilter ref="C4:G18">
    <filterColumn colId="4"/>
  </autoFilter>
  <tableColumns count="5">
    <tableColumn id="1" name="Item"/>
    <tableColumn id="2" name="Value"/>
    <tableColumn id="3" name="Units"/>
    <tableColumn id="4" name="Date" dataDxfId="21"/>
    <tableColumn id="5" name="Fill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Table79" displayName="Table79" ref="C22:G29" totalsRowShown="0">
  <autoFilter ref="C22:G29"/>
  <tableColumns count="5">
    <tableColumn id="1" name="Item"/>
    <tableColumn id="2" name="Value"/>
    <tableColumn id="3" name="Units"/>
    <tableColumn id="4" name="Date" dataDxfId="20"/>
    <tableColumn id="5" name="Fill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6" name="Table1567" displayName="Table1567" ref="C18:O27" totalsRowShown="0">
  <autoFilter ref="C18:O27">
    <filterColumn colId="12"/>
  </autoFilter>
  <tableColumns count="13">
    <tableColumn id="1" name="Date" dataDxfId="19"/>
    <tableColumn id="8" name="Schema"/>
    <tableColumn id="2" name="Nb"/>
    <tableColumn id="3" name="Ib" dataDxfId="18"/>
    <tableColumn id="4" name="Nc"/>
    <tableColumn id="5" name="beta*"/>
    <tableColumn id="9" name="Emittance"/>
    <tableColumn id="12" name="Xing angle"/>
    <tableColumn id="13" name="Xing factor"/>
    <tableColumn id="6" name="L measured" dataDxfId="17"/>
    <tableColumn id="7" name="L theor" dataDxfId="16">
      <calculatedColumnFormula>Lfactor_14*G19*(BetaStar_ref_14/H19)*(Emittance_ref/I19)*F19*F19*K19</calculatedColumnFormula>
    </tableColumn>
    <tableColumn id="11" name="Stored E (kJ)" dataDxfId="15">
      <calculatedColumnFormula>Energy_14*E19*F19*1.602E-19*1000000000*0.001</calculatedColumnFormula>
    </tableColumn>
    <tableColumn id="10" name="Nb/inj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5" name="Table156" displayName="Table156" ref="C18:N20" totalsRowShown="0">
  <autoFilter ref="C18:N20"/>
  <tableColumns count="12">
    <tableColumn id="1" name="Date" dataDxfId="14"/>
    <tableColumn id="8" name="Schema"/>
    <tableColumn id="2" name="Nb"/>
    <tableColumn id="3" name="Ib" dataDxfId="13"/>
    <tableColumn id="4" name="Nc"/>
    <tableColumn id="5" name="beta*"/>
    <tableColumn id="9" name="Emittance"/>
    <tableColumn id="12" name="Xing angle"/>
    <tableColumn id="13" name="Xing factor"/>
    <tableColumn id="6" name="L measured" dataDxfId="12"/>
    <tableColumn id="7" name="L theor" dataDxfId="11">
      <calculatedColumnFormula>Lfactor_14*G19*(BetaStar_ref_14/H19)*(Emittance_ref/I19)*F19*F19*K19</calculatedColumnFormula>
    </tableColumn>
    <tableColumn id="11" name="Stored E (kJ)" dataDxfId="10">
      <calculatedColumnFormula>Energy_14*E19*F19*1.602E-19*1000000000*0.001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D28"/>
  <sheetViews>
    <sheetView topLeftCell="A5" workbookViewId="0">
      <selection activeCell="O20" sqref="O20"/>
    </sheetView>
  </sheetViews>
  <sheetFormatPr defaultRowHeight="15"/>
  <cols>
    <col min="2" max="2" width="15.42578125" customWidth="1"/>
    <col min="3" max="3" width="9.85546875" customWidth="1"/>
    <col min="4" max="4" width="10" customWidth="1"/>
    <col min="5" max="5" width="12" customWidth="1"/>
    <col min="6" max="6" width="7.5703125" customWidth="1"/>
    <col min="7" max="8" width="7.7109375" customWidth="1"/>
    <col min="9" max="10" width="11" customWidth="1"/>
    <col min="11" max="11" width="15.5703125" customWidth="1"/>
    <col min="12" max="12" width="12.5703125" customWidth="1"/>
    <col min="13" max="13" width="14.85546875" customWidth="1"/>
    <col min="14" max="14" width="18.5703125" customWidth="1"/>
    <col min="15" max="15" width="11.140625" customWidth="1"/>
    <col min="17" max="17" width="16.28515625" customWidth="1"/>
    <col min="18" max="18" width="14.28515625" customWidth="1"/>
    <col min="19" max="19" width="17.85546875" customWidth="1"/>
  </cols>
  <sheetData>
    <row r="3" spans="2:30" ht="15" customHeight="1">
      <c r="B3" s="2" t="s">
        <v>5</v>
      </c>
      <c r="C3" s="2"/>
      <c r="D3" s="16">
        <v>4000</v>
      </c>
      <c r="E3" s="2" t="s">
        <v>6</v>
      </c>
      <c r="K3" s="2"/>
      <c r="L3" s="15"/>
      <c r="M3" s="2"/>
      <c r="N3" s="2"/>
      <c r="O3" s="15"/>
      <c r="P3" s="2"/>
      <c r="Q3" s="2"/>
      <c r="R3" s="19"/>
    </row>
    <row r="4" spans="2:30" ht="15" customHeight="1">
      <c r="B4" s="2" t="s">
        <v>7</v>
      </c>
      <c r="C4" s="2"/>
      <c r="D4" s="17">
        <f>D3/0.938</f>
        <v>4264.3923240938166</v>
      </c>
      <c r="E4" s="2"/>
      <c r="K4" s="2"/>
      <c r="L4" s="15"/>
      <c r="M4" s="2"/>
      <c r="N4" s="2"/>
      <c r="O4" s="15"/>
      <c r="P4" s="2"/>
      <c r="Q4" s="2"/>
      <c r="R4" s="19"/>
    </row>
    <row r="5" spans="2:30">
      <c r="B5" s="2" t="s">
        <v>38</v>
      </c>
      <c r="C5" s="2"/>
      <c r="D5" s="16">
        <v>0.6</v>
      </c>
      <c r="E5" s="2" t="s">
        <v>8</v>
      </c>
    </row>
    <row r="6" spans="2:30">
      <c r="B6" s="2" t="s">
        <v>9</v>
      </c>
      <c r="C6" s="2"/>
      <c r="D6" s="16">
        <v>2.5</v>
      </c>
      <c r="E6" s="2" t="s">
        <v>10</v>
      </c>
      <c r="K6" s="20" t="s">
        <v>64</v>
      </c>
      <c r="L6" s="23" t="s">
        <v>65</v>
      </c>
      <c r="M6" s="23" t="s">
        <v>66</v>
      </c>
      <c r="N6" s="23" t="s">
        <v>69</v>
      </c>
    </row>
    <row r="7" spans="2:30">
      <c r="B7" s="2" t="s">
        <v>11</v>
      </c>
      <c r="C7" s="2"/>
      <c r="D7" s="18">
        <f>11240*100*D4/(4*PI()*betaStar_ref*D6)</f>
        <v>254285936.08427915</v>
      </c>
      <c r="E7" s="2"/>
      <c r="K7" s="2" t="s">
        <v>67</v>
      </c>
      <c r="L7" s="21">
        <f xml:space="preserve"> 2095.8*450/Energy</f>
        <v>235.77750000000003</v>
      </c>
      <c r="M7" s="21">
        <f>LHCbXing+250</f>
        <v>485.77750000000003</v>
      </c>
      <c r="N7" s="22">
        <f>SQRT(1/(1+POWER(Bunch_Length*1000000/Beam_size_LHCb,2)*POWER(TAN(LHCbTotalXing*0.000001),2)))</f>
        <v>0.69224206723678994</v>
      </c>
    </row>
    <row r="8" spans="2:30">
      <c r="B8" s="2" t="s">
        <v>59</v>
      </c>
      <c r="C8" s="2"/>
      <c r="D8" s="15">
        <v>1.2</v>
      </c>
      <c r="E8" s="2" t="s">
        <v>60</v>
      </c>
      <c r="K8" s="2" t="s">
        <v>68</v>
      </c>
      <c r="L8" s="21">
        <f>1049*450/Energy</f>
        <v>118.0125</v>
      </c>
      <c r="M8" s="21">
        <f>ALICEXing+90</f>
        <v>208.01249999999999</v>
      </c>
      <c r="N8" s="22">
        <f>SQRT(1/(1+POWER(Bunch_Length*1000000/Beam_size_ALICE,2)*POWER(TAN(ALICETotalXing*0.000001),2)))</f>
        <v>0.913145599646072</v>
      </c>
    </row>
    <row r="9" spans="2:30">
      <c r="B9" s="2" t="s">
        <v>59</v>
      </c>
      <c r="D9" s="39">
        <f>D8*0.000000001*300000000/4</f>
        <v>0.09</v>
      </c>
      <c r="E9" s="2" t="s">
        <v>8</v>
      </c>
      <c r="K9" s="2" t="s">
        <v>72</v>
      </c>
      <c r="L9" s="34">
        <v>145</v>
      </c>
      <c r="M9" s="34">
        <v>145</v>
      </c>
      <c r="N9" s="22">
        <f>SQRT(1/(1+POWER(Bunch_Length*1000000/Beam_size,2)*POWER(TAN(ATLAS_TotalXing*0.000001),2)))</f>
        <v>0.82084274140627411</v>
      </c>
    </row>
    <row r="10" spans="2:30">
      <c r="B10" s="2" t="s">
        <v>61</v>
      </c>
      <c r="D10" s="17">
        <f>1000000*SQRT(D5*D6*0.000001/D4)</f>
        <v>18.754999333511051</v>
      </c>
      <c r="E10" s="2" t="s">
        <v>10</v>
      </c>
    </row>
    <row r="11" spans="2:30">
      <c r="B11" s="2" t="s">
        <v>62</v>
      </c>
      <c r="D11" s="17">
        <f>1000000*SQRT(3*D6*0.000001/D4)</f>
        <v>41.93745342769396</v>
      </c>
      <c r="E11" s="2" t="s">
        <v>10</v>
      </c>
    </row>
    <row r="12" spans="2:30">
      <c r="B12" s="2" t="s">
        <v>63</v>
      </c>
      <c r="D12" s="17">
        <f>1000000*SQRT(3*D6*0.000001/D4)</f>
        <v>41.93745342769396</v>
      </c>
      <c r="E12" s="2" t="s">
        <v>10</v>
      </c>
    </row>
    <row r="13" spans="2:30">
      <c r="B13" s="2" t="s">
        <v>131</v>
      </c>
      <c r="D13" s="31">
        <f>0.000000000000002818*0.510998/938.272</f>
        <v>1.5347280575355543E-18</v>
      </c>
      <c r="E13" s="2" t="s">
        <v>8</v>
      </c>
    </row>
    <row r="14" spans="2:30">
      <c r="B14" s="2"/>
      <c r="D14" s="31"/>
      <c r="E14" s="2"/>
    </row>
    <row r="15" spans="2:30">
      <c r="B15" s="2"/>
      <c r="D15" s="16"/>
      <c r="E15" s="2"/>
    </row>
    <row r="16" spans="2:30">
      <c r="R16" s="13"/>
      <c r="S16" s="7"/>
      <c r="T16" s="7"/>
      <c r="U16" s="8"/>
      <c r="V16" s="7"/>
      <c r="W16" s="7"/>
      <c r="X16" s="7"/>
      <c r="Y16" s="7"/>
      <c r="Z16" s="7"/>
      <c r="AA16" s="8"/>
      <c r="AB16" s="8"/>
      <c r="AC16" s="30"/>
      <c r="AD16" s="33"/>
    </row>
    <row r="17" spans="2:30">
      <c r="B17" t="s">
        <v>0</v>
      </c>
      <c r="C17" t="s">
        <v>13</v>
      </c>
      <c r="D17" t="s">
        <v>1</v>
      </c>
      <c r="E17" t="s">
        <v>2</v>
      </c>
      <c r="F17" t="s">
        <v>3</v>
      </c>
      <c r="G17" t="s">
        <v>4</v>
      </c>
      <c r="H17" t="s">
        <v>9</v>
      </c>
      <c r="I17" t="s">
        <v>23</v>
      </c>
      <c r="J17" t="s">
        <v>24</v>
      </c>
      <c r="K17" t="s">
        <v>20</v>
      </c>
      <c r="L17" t="s">
        <v>56</v>
      </c>
      <c r="M17" t="s">
        <v>173</v>
      </c>
      <c r="N17" t="s">
        <v>132</v>
      </c>
      <c r="O17" t="s">
        <v>171</v>
      </c>
      <c r="R17" s="13"/>
      <c r="S17" s="7"/>
      <c r="T17" s="7"/>
      <c r="U17" s="8"/>
      <c r="V17" s="7"/>
      <c r="W17" s="7"/>
      <c r="X17" s="7"/>
      <c r="Y17" s="7"/>
      <c r="Z17" s="7"/>
      <c r="AA17" s="8"/>
      <c r="AB17" s="8"/>
      <c r="AC17" s="30"/>
      <c r="AD17" s="33"/>
    </row>
    <row r="18" spans="2:30">
      <c r="B18" s="14">
        <v>41004</v>
      </c>
      <c r="C18" t="s">
        <v>29</v>
      </c>
      <c r="D18">
        <v>47</v>
      </c>
      <c r="E18" s="1">
        <v>120000000000</v>
      </c>
      <c r="F18">
        <v>28</v>
      </c>
      <c r="G18">
        <v>0.6</v>
      </c>
      <c r="H18">
        <v>2.6</v>
      </c>
      <c r="I18">
        <v>145</v>
      </c>
      <c r="J18">
        <v>0.82</v>
      </c>
      <c r="K18" s="1">
        <v>7.9999999999999997E+31</v>
      </c>
      <c r="L18" s="1">
        <f t="shared" ref="L18:L19" si="0">L_factor*F18*(betaStar_ref/G18)*(Emittance_ref/H18)*E18*E18*J18</f>
        <v>8.0839455126854517E+31</v>
      </c>
      <c r="M18" s="19">
        <f t="shared" ref="M18:M19" si="1">Energy*D18*E18*1.602E-19*1000000000*0.001*0.001</f>
        <v>3.614112</v>
      </c>
      <c r="N18" s="32">
        <f>rp*Table1512[[#This Row],[Ib]]/(4*PI()*Table1512[[#This Row],[Emittance]]*0.000001)</f>
        <v>5.6367589998139898E-3</v>
      </c>
      <c r="O18" s="29">
        <f>70*0.001*1E-28*Table1512[[#This Row],[L measured]]/Table1512[[#This Row],[Nc]]</f>
        <v>20</v>
      </c>
      <c r="R18" s="13"/>
      <c r="S18" s="7"/>
      <c r="T18" s="7"/>
      <c r="U18" s="8"/>
      <c r="V18" s="7"/>
      <c r="W18" s="7"/>
      <c r="X18" s="7"/>
      <c r="Y18" s="7"/>
      <c r="Z18" s="7"/>
      <c r="AA18" s="8"/>
      <c r="AB18" s="8"/>
      <c r="AC18" s="30"/>
      <c r="AD18" s="33"/>
    </row>
    <row r="19" spans="2:30">
      <c r="B19" s="14">
        <v>41004</v>
      </c>
      <c r="C19" t="s">
        <v>172</v>
      </c>
      <c r="D19">
        <v>84</v>
      </c>
      <c r="E19" s="1">
        <v>131000000000</v>
      </c>
      <c r="F19">
        <v>72</v>
      </c>
      <c r="G19">
        <v>0.6</v>
      </c>
      <c r="H19">
        <v>2.2999999999999998</v>
      </c>
      <c r="I19">
        <v>145</v>
      </c>
      <c r="J19">
        <v>0.82</v>
      </c>
      <c r="K19" s="1">
        <v>2.8000000000000001E+32</v>
      </c>
      <c r="L19" s="1">
        <f t="shared" si="0"/>
        <v>2.8004218264930683E+32</v>
      </c>
      <c r="M19" s="19">
        <f t="shared" si="1"/>
        <v>7.0513632000000008</v>
      </c>
      <c r="N19" s="32">
        <f>rp*Table1512[[#This Row],[Ib]]/(4*PI()*Table1512[[#This Row],[Emittance]]*0.000001)</f>
        <v>6.9560873744081353E-3</v>
      </c>
      <c r="O19" s="29">
        <f>70*0.001*1E-28*Table1512[[#This Row],[L measured]]/Table1512[[#This Row],[Nc]]</f>
        <v>27.222222222222225</v>
      </c>
      <c r="R19" s="13"/>
      <c r="S19" s="7"/>
      <c r="T19" s="7"/>
      <c r="U19" s="8"/>
      <c r="V19" s="7"/>
      <c r="W19" s="7"/>
      <c r="X19" s="7"/>
      <c r="Y19" s="7"/>
      <c r="Z19" s="7"/>
      <c r="AA19" s="8"/>
      <c r="AB19" s="8"/>
      <c r="AC19" s="30"/>
      <c r="AD19" s="33"/>
    </row>
    <row r="20" spans="2:30">
      <c r="B20" s="14">
        <v>41005</v>
      </c>
      <c r="C20" t="s">
        <v>172</v>
      </c>
      <c r="D20">
        <v>84</v>
      </c>
      <c r="E20" s="1">
        <v>145000000000</v>
      </c>
      <c r="F20">
        <v>72</v>
      </c>
      <c r="G20">
        <v>0.6</v>
      </c>
      <c r="H20">
        <v>2.5</v>
      </c>
      <c r="I20">
        <v>145</v>
      </c>
      <c r="J20">
        <v>0.82</v>
      </c>
      <c r="K20" s="1">
        <v>3.1999999999999999E+32</v>
      </c>
      <c r="L20" s="1">
        <f t="shared" ref="L20:L27" si="2">L_factor*F20*(betaStar_ref/G20)*(Emittance_ref/H20)*E20*E20*J20</f>
        <v>3.1564920103639306E+32</v>
      </c>
      <c r="M20" s="19">
        <f t="shared" ref="M20:M27" si="3">Energy*D20*E20*1.602E-19*1000000000*0.001*0.001</f>
        <v>7.8049440000000008</v>
      </c>
      <c r="N20" s="32">
        <f>rp*Table1512[[#This Row],[Ib]]/(4*PI()*Table1512[[#This Row],[Emittance]]*0.000001)</f>
        <v>7.0835271430995808E-3</v>
      </c>
      <c r="O20" s="29">
        <f>70*0.001*1E-28*Table1512[[#This Row],[L measured]]/Table1512[[#This Row],[Nc]]</f>
        <v>31.111111111111111</v>
      </c>
      <c r="R20" s="13"/>
      <c r="S20" s="7"/>
      <c r="T20" s="7"/>
      <c r="U20" s="8"/>
      <c r="V20" s="7"/>
      <c r="W20" s="7"/>
      <c r="X20" s="7"/>
      <c r="Y20" s="7"/>
      <c r="Z20" s="7"/>
      <c r="AA20" s="8"/>
      <c r="AB20" s="8"/>
      <c r="AC20" s="30"/>
      <c r="AD20" s="33"/>
    </row>
    <row r="21" spans="2:30">
      <c r="B21" s="13">
        <v>41007</v>
      </c>
      <c r="C21" s="7" t="s">
        <v>134</v>
      </c>
      <c r="D21" s="7">
        <v>264</v>
      </c>
      <c r="E21" s="1">
        <v>133000000000</v>
      </c>
      <c r="F21" s="7">
        <v>249</v>
      </c>
      <c r="G21" s="7">
        <v>0.6</v>
      </c>
      <c r="H21" s="7">
        <v>2.2999999999999998</v>
      </c>
      <c r="I21" s="7">
        <v>145</v>
      </c>
      <c r="J21" s="7">
        <v>0.82</v>
      </c>
      <c r="K21" s="8">
        <v>9.9999999999999995E+32</v>
      </c>
      <c r="L21" s="8">
        <f t="shared" si="2"/>
        <v>9.9827683899864478E+32</v>
      </c>
      <c r="M21" s="30">
        <f t="shared" si="3"/>
        <v>22.499769600000004</v>
      </c>
      <c r="N21" s="33">
        <f>rp*Table1512[[#This Row],[Ib]]/(4*PI()*Table1512[[#This Row],[Emittance]]*0.000001)</f>
        <v>7.062287181651008E-3</v>
      </c>
      <c r="O21" s="40">
        <f>70*0.001*1E-28*Table1512[[#This Row],[L measured]]/Table1512[[#This Row],[Nc]]</f>
        <v>28.112449799196789</v>
      </c>
    </row>
    <row r="22" spans="2:30">
      <c r="B22" s="13">
        <v>41007</v>
      </c>
      <c r="C22" s="7" t="s">
        <v>134</v>
      </c>
      <c r="D22" s="7">
        <v>264</v>
      </c>
      <c r="E22" s="1">
        <v>147000000000</v>
      </c>
      <c r="F22" s="7">
        <v>249</v>
      </c>
      <c r="G22" s="7">
        <v>0.6</v>
      </c>
      <c r="H22" s="7">
        <v>2.5</v>
      </c>
      <c r="I22" s="7">
        <v>145</v>
      </c>
      <c r="J22" s="7">
        <v>0.82</v>
      </c>
      <c r="K22" s="8">
        <v>1.1E+33</v>
      </c>
      <c r="L22" s="8">
        <f t="shared" si="2"/>
        <v>1.1219414934031306E+33</v>
      </c>
      <c r="M22" s="30">
        <f t="shared" si="3"/>
        <v>24.8681664</v>
      </c>
      <c r="N22" s="33">
        <f>rp*Table1512[[#This Row],[Ib]]/(4*PI()*Table1512[[#This Row],[Emittance]]*0.000001)</f>
        <v>7.1812309657630236E-3</v>
      </c>
      <c r="O22" s="40">
        <f>70*0.001*1E-28*Table1512[[#This Row],[L measured]]/Table1512[[#This Row],[Nc]]</f>
        <v>30.923694779116467</v>
      </c>
    </row>
    <row r="23" spans="2:30">
      <c r="B23" s="13">
        <v>41007</v>
      </c>
      <c r="C23" s="7" t="s">
        <v>115</v>
      </c>
      <c r="D23" s="7">
        <v>624</v>
      </c>
      <c r="E23" s="1">
        <v>138000000000</v>
      </c>
      <c r="F23" s="7">
        <v>618</v>
      </c>
      <c r="G23" s="7">
        <v>0.6</v>
      </c>
      <c r="H23" s="7">
        <v>2.6</v>
      </c>
      <c r="I23" s="7">
        <v>145</v>
      </c>
      <c r="J23" s="7">
        <v>0.82</v>
      </c>
      <c r="K23" s="8">
        <v>2.4E+33</v>
      </c>
      <c r="L23" s="8">
        <f t="shared" si="2"/>
        <v>2.3596603883019223E+33</v>
      </c>
      <c r="M23" s="30">
        <f t="shared" si="3"/>
        <v>55.180569600000005</v>
      </c>
      <c r="N23" s="33">
        <f>rp*Table1512[[#This Row],[Ib]]/(4*PI()*Table1512[[#This Row],[Emittance]]*0.000001)</f>
        <v>6.4822728497860877E-3</v>
      </c>
      <c r="O23" s="40">
        <f>70*0.001*1E-28*Table1512[[#This Row],[L measured]]/Table1512[[#This Row],[Nc]]</f>
        <v>27.184466019417474</v>
      </c>
    </row>
    <row r="24" spans="2:30">
      <c r="B24" s="13">
        <v>41011</v>
      </c>
      <c r="C24" s="7" t="s">
        <v>174</v>
      </c>
      <c r="D24" s="7">
        <v>840</v>
      </c>
      <c r="E24" s="1">
        <v>129000000000</v>
      </c>
      <c r="F24" s="7">
        <v>807</v>
      </c>
      <c r="G24" s="7">
        <v>0.6</v>
      </c>
      <c r="H24" s="7">
        <v>2.4</v>
      </c>
      <c r="I24" s="7">
        <v>145</v>
      </c>
      <c r="J24" s="7">
        <v>0.82</v>
      </c>
      <c r="K24" s="8">
        <v>3.1E+33</v>
      </c>
      <c r="L24" s="8">
        <f>L_factor*F24*(betaStar_ref/G24)*(Emittance_ref/H24)*E24*E24*J24</f>
        <v>2.9168756551107721E+33</v>
      </c>
      <c r="M24" s="30">
        <f>Energy*D24*E24*1.602E-19*1000000000*0.001*0.001</f>
        <v>69.437088000000003</v>
      </c>
      <c r="N24" s="33">
        <f>rp*Table1512[[#This Row],[Ib]]/(4*PI()*Table1512[[#This Row],[Emittance]]*0.000001)</f>
        <v>6.5644755852000422E-3</v>
      </c>
      <c r="O24" s="40">
        <f>70*0.001*1E-28*Table1512[[#This Row],[L measured]]/Table1512[[#This Row],[Nc]]</f>
        <v>26.889714993804219</v>
      </c>
    </row>
    <row r="25" spans="2:30">
      <c r="B25" s="13">
        <v>41012</v>
      </c>
      <c r="C25" s="7" t="s">
        <v>125</v>
      </c>
      <c r="D25" s="7">
        <v>1092</v>
      </c>
      <c r="E25" s="1">
        <v>128000000000</v>
      </c>
      <c r="F25" s="7">
        <v>1054</v>
      </c>
      <c r="G25" s="7">
        <v>0.6</v>
      </c>
      <c r="H25" s="7">
        <v>2.4</v>
      </c>
      <c r="I25" s="7">
        <v>145</v>
      </c>
      <c r="J25" s="7">
        <v>0.82</v>
      </c>
      <c r="K25" s="8">
        <v>3.8E+33</v>
      </c>
      <c r="L25" s="8">
        <f t="shared" si="2"/>
        <v>3.7508138468509152E+33</v>
      </c>
      <c r="M25" s="30">
        <f t="shared" si="3"/>
        <v>89.568460799999997</v>
      </c>
      <c r="N25" s="33">
        <f>rp*Table1512[[#This Row],[Ib]]/(4*PI()*Table1512[[#This Row],[Emittance]]*0.000001)</f>
        <v>6.5135881775628332E-3</v>
      </c>
      <c r="O25" s="40">
        <f>70*0.001*1E-28*Table1512[[#This Row],[L measured]]/Table1512[[#This Row],[Nc]]</f>
        <v>25.237191650853894</v>
      </c>
    </row>
    <row r="26" spans="2:30">
      <c r="B26" s="13">
        <v>41014</v>
      </c>
      <c r="C26" s="7" t="s">
        <v>125</v>
      </c>
      <c r="D26" s="7">
        <v>1092</v>
      </c>
      <c r="E26" s="1">
        <v>135000000000</v>
      </c>
      <c r="F26" s="7">
        <v>1051</v>
      </c>
      <c r="G26" s="7">
        <v>0.6</v>
      </c>
      <c r="H26" s="7">
        <v>2.4</v>
      </c>
      <c r="I26" s="7">
        <v>145</v>
      </c>
      <c r="J26" s="7">
        <v>0.82</v>
      </c>
      <c r="K26" s="8">
        <v>4.2000000000000001E+33</v>
      </c>
      <c r="L26" s="8">
        <f>L_factor*F26*(betaStar_ref/G26)*(Emittance_ref/H26)*E26*E26*J26</f>
        <v>4.1604012047644756E+33</v>
      </c>
      <c r="M26" s="30">
        <f>Energy*D26*E26*1.602E-19*1000000000*0.001*0.001</f>
        <v>94.466736000000012</v>
      </c>
      <c r="N26" s="33">
        <f>rp*Table1512[[#This Row],[Ib]]/(4*PI()*Table1512[[#This Row],[Emittance]]*0.000001)</f>
        <v>6.8698000310232999E-3</v>
      </c>
      <c r="O26" s="40">
        <f>70*0.001*1E-28*Table1512[[#This Row],[L measured]]/Table1512[[#This Row],[Nc]]</f>
        <v>27.973358705994293</v>
      </c>
    </row>
    <row r="27" spans="2:30">
      <c r="B27" s="13">
        <v>41017</v>
      </c>
      <c r="C27" s="7" t="s">
        <v>130</v>
      </c>
      <c r="D27" s="7">
        <v>1380</v>
      </c>
      <c r="E27" s="1">
        <v>127000000000</v>
      </c>
      <c r="F27" s="7">
        <v>1331</v>
      </c>
      <c r="G27" s="7">
        <v>0.6</v>
      </c>
      <c r="H27" s="7">
        <v>2.25</v>
      </c>
      <c r="I27" s="7">
        <v>145</v>
      </c>
      <c r="J27" s="7">
        <v>0.82</v>
      </c>
      <c r="K27" s="8">
        <v>4.9999999999999997E+33</v>
      </c>
      <c r="L27" s="8">
        <f t="shared" si="2"/>
        <v>4.9736953637202725E+33</v>
      </c>
      <c r="M27" s="30">
        <f t="shared" si="3"/>
        <v>112.30660800000001</v>
      </c>
      <c r="N27" s="33">
        <f>rp*Table1512[[#This Row],[Ib]]/(4*PI()*Table1512[[#This Row],[Emittance]]*0.000001)</f>
        <v>6.8935474879206647E-3</v>
      </c>
      <c r="O27" s="40">
        <f>70*0.001*1E-28*Table1512[[#This Row],[L measured]]/Table1512[[#This Row],[Nc]]</f>
        <v>26.296018031555221</v>
      </c>
    </row>
    <row r="28" spans="2:30">
      <c r="B28" s="13">
        <v>41018</v>
      </c>
      <c r="C28" s="7" t="s">
        <v>130</v>
      </c>
      <c r="D28" s="7">
        <v>1380</v>
      </c>
      <c r="E28" s="8">
        <v>129000000000</v>
      </c>
      <c r="F28" s="7">
        <v>1331</v>
      </c>
      <c r="G28" s="7">
        <v>0.6</v>
      </c>
      <c r="H28" s="7">
        <v>2.25</v>
      </c>
      <c r="I28" s="7">
        <v>145</v>
      </c>
      <c r="J28" s="7">
        <v>0.82</v>
      </c>
      <c r="K28" s="8">
        <v>5.1999999999999995E+33</v>
      </c>
      <c r="L28" s="8">
        <f>L_factor*F28*(betaStar_ref/G28)*(Emittance_ref/H28)*E28*E28*J28</f>
        <v>5.1315806651168121E+33</v>
      </c>
      <c r="M28" s="30">
        <f>Energy*D28*E28*1.602E-19*1000000000*0.001*0.001</f>
        <v>114.075216</v>
      </c>
      <c r="N28" s="33">
        <f>rp*Table1512[[#This Row],[Ib]]/(4*PI()*Table1512[[#This Row],[Emittance]]*0.000001)</f>
        <v>7.0021072908800453E-3</v>
      </c>
      <c r="O28" s="40">
        <f>70*0.001*1E-28*Table1512[[#This Row],[L measured]]/Table1512[[#This Row],[Nc]]</f>
        <v>27.34785875281743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3:R20"/>
  <sheetViews>
    <sheetView workbookViewId="0">
      <selection activeCell="C16" sqref="C16"/>
    </sheetView>
  </sheetViews>
  <sheetFormatPr defaultRowHeight="15"/>
  <cols>
    <col min="3" max="3" width="9.85546875" bestFit="1" customWidth="1"/>
    <col min="12" max="12" width="10.5703125" customWidth="1"/>
    <col min="13" max="13" width="13.5703125" customWidth="1"/>
    <col min="14" max="14" width="20.5703125" customWidth="1"/>
  </cols>
  <sheetData>
    <row r="3" spans="2:18" ht="15" customHeight="1">
      <c r="B3" s="2" t="s">
        <v>5</v>
      </c>
      <c r="C3" s="2"/>
      <c r="D3" s="16">
        <v>1380</v>
      </c>
      <c r="E3" s="2" t="s">
        <v>6</v>
      </c>
      <c r="K3" s="2"/>
      <c r="L3" s="15"/>
      <c r="M3" s="2"/>
      <c r="N3" s="2"/>
      <c r="O3" s="15"/>
      <c r="P3" s="2"/>
      <c r="Q3" s="2"/>
      <c r="R3" s="19"/>
    </row>
    <row r="4" spans="2:18" ht="15" customHeight="1">
      <c r="B4" s="2" t="s">
        <v>7</v>
      </c>
      <c r="C4" s="2"/>
      <c r="D4" s="17">
        <f>D3/0.938</f>
        <v>1471.2153518123669</v>
      </c>
      <c r="E4" s="2"/>
      <c r="K4" s="2"/>
      <c r="L4" s="15"/>
      <c r="M4" s="2"/>
      <c r="N4" s="2"/>
      <c r="O4" s="15"/>
      <c r="P4" s="2"/>
      <c r="Q4" s="2"/>
      <c r="R4" s="19"/>
    </row>
    <row r="5" spans="2:18">
      <c r="B5" s="2" t="s">
        <v>38</v>
      </c>
      <c r="C5" s="2"/>
      <c r="D5" s="16">
        <v>11</v>
      </c>
      <c r="E5" s="2" t="s">
        <v>8</v>
      </c>
    </row>
    <row r="6" spans="2:18">
      <c r="B6" s="2" t="s">
        <v>9</v>
      </c>
      <c r="C6" s="2"/>
      <c r="D6" s="16">
        <v>2.7</v>
      </c>
      <c r="E6" s="2" t="s">
        <v>10</v>
      </c>
      <c r="K6" s="20" t="s">
        <v>64</v>
      </c>
      <c r="L6" s="23" t="s">
        <v>65</v>
      </c>
      <c r="M6" s="23" t="s">
        <v>66</v>
      </c>
      <c r="N6" s="23" t="s">
        <v>69</v>
      </c>
    </row>
    <row r="7" spans="2:18">
      <c r="B7" s="2" t="s">
        <v>11</v>
      </c>
      <c r="C7" s="2"/>
      <c r="D7" s="18">
        <f>11240*100*D4/(4*PI()*BetaStar_ref_14*D6)</f>
        <v>4430739.7954078941</v>
      </c>
      <c r="E7" s="2"/>
      <c r="K7" s="2" t="s">
        <v>67</v>
      </c>
      <c r="L7" s="21">
        <f xml:space="preserve"> 2095.8*450/Energy_14</f>
        <v>683.41304347826099</v>
      </c>
      <c r="M7" s="21">
        <f>LHCbXing_14</f>
        <v>683.41304347826099</v>
      </c>
      <c r="N7" s="22">
        <f>SQRT(1/(1+POWER(Bunch_Length*1000000/Beam_size_LHCb,2)*POWER(TAN(LHCbXing_14*0.000001),2)))</f>
        <v>0.56443928399010812</v>
      </c>
    </row>
    <row r="8" spans="2:18">
      <c r="B8" s="2" t="s">
        <v>59</v>
      </c>
      <c r="C8" s="2"/>
      <c r="D8" s="15">
        <v>1.1000000000000001</v>
      </c>
      <c r="E8" s="2" t="s">
        <v>60</v>
      </c>
      <c r="K8" s="2" t="s">
        <v>68</v>
      </c>
      <c r="L8" s="21">
        <f>1049*450/Energy_14</f>
        <v>342.06521739130437</v>
      </c>
      <c r="M8" s="21">
        <f>ALICEXing</f>
        <v>134.87142857142857</v>
      </c>
      <c r="N8" s="22">
        <f>SQRT(1/(1+POWER(Bunch_Length*1000000/Beam_size_ALICE,2)*POWER(TAN(ALICEXing_14*0.000001),2)))</f>
        <v>0.92817750692434264</v>
      </c>
    </row>
    <row r="9" spans="2:18">
      <c r="B9" s="2" t="s">
        <v>59</v>
      </c>
      <c r="D9" s="16">
        <f>D8*0.000000001*300000000/4</f>
        <v>8.2500000000000004E-2</v>
      </c>
      <c r="E9" s="2" t="s">
        <v>8</v>
      </c>
    </row>
    <row r="10" spans="2:18">
      <c r="B10" s="2" t="s">
        <v>61</v>
      </c>
      <c r="D10" s="17">
        <f>1000000*SQRT(D5*D6*0.000001/D4)</f>
        <v>142.08233987497471</v>
      </c>
      <c r="E10" s="2" t="s">
        <v>10</v>
      </c>
    </row>
    <row r="11" spans="2:18">
      <c r="B11" s="2" t="s">
        <v>62</v>
      </c>
      <c r="D11" s="17">
        <f>1000000*SQRT(10*D6*0.000001/D4)</f>
        <v>135.47019566326566</v>
      </c>
      <c r="E11" s="2" t="s">
        <v>10</v>
      </c>
    </row>
    <row r="12" spans="2:18">
      <c r="B12" s="2" t="s">
        <v>63</v>
      </c>
      <c r="D12" s="17">
        <f>1000000*SQRT(10*D6*0.000001/D4)</f>
        <v>135.47019566326566</v>
      </c>
      <c r="E12" s="2" t="s">
        <v>10</v>
      </c>
    </row>
    <row r="15" spans="2:18">
      <c r="C15" t="s">
        <v>121</v>
      </c>
    </row>
    <row r="18" spans="3:16">
      <c r="C18" t="s">
        <v>0</v>
      </c>
      <c r="D18" t="s">
        <v>13</v>
      </c>
      <c r="E18" t="s">
        <v>1</v>
      </c>
      <c r="F18" t="s">
        <v>2</v>
      </c>
      <c r="G18" t="s">
        <v>3</v>
      </c>
      <c r="H18" t="s">
        <v>4</v>
      </c>
      <c r="I18" t="s">
        <v>9</v>
      </c>
      <c r="J18" t="s">
        <v>23</v>
      </c>
      <c r="K18" t="s">
        <v>24</v>
      </c>
      <c r="L18" t="s">
        <v>20</v>
      </c>
      <c r="M18" t="s">
        <v>56</v>
      </c>
      <c r="N18" t="s">
        <v>18</v>
      </c>
    </row>
    <row r="19" spans="3:16">
      <c r="C19" s="13">
        <v>40627</v>
      </c>
      <c r="D19" s="7" t="s">
        <v>71</v>
      </c>
      <c r="E19" s="7">
        <v>80</v>
      </c>
      <c r="F19" s="8">
        <v>120000000000</v>
      </c>
      <c r="G19" s="7">
        <v>68</v>
      </c>
      <c r="H19" s="7">
        <v>11</v>
      </c>
      <c r="I19" s="7">
        <v>2.7</v>
      </c>
      <c r="J19" s="7">
        <v>0</v>
      </c>
      <c r="K19" s="7">
        <v>1</v>
      </c>
      <c r="L19" s="8">
        <v>4.4999999999999999E+30</v>
      </c>
      <c r="M19" s="8">
        <f>Lfactor_14*G19*(BetaStar_ref_14/H19)*(Emittance_ref/I19)*F19*F19*K19</f>
        <v>3.5351395914294452E+30</v>
      </c>
      <c r="N19" s="10">
        <f>Energy_14*E19*F19*1.602E-19*1000000000*0.001</f>
        <v>2122.3295999999996</v>
      </c>
      <c r="P19" t="s">
        <v>72</v>
      </c>
    </row>
    <row r="20" spans="3:16">
      <c r="C20" s="13">
        <v>40627</v>
      </c>
      <c r="D20" s="7" t="s">
        <v>71</v>
      </c>
      <c r="E20" s="7">
        <v>80</v>
      </c>
      <c r="F20" s="8">
        <v>120000000000</v>
      </c>
      <c r="G20" s="7">
        <v>32</v>
      </c>
      <c r="H20" s="7">
        <v>10</v>
      </c>
      <c r="I20" s="7">
        <v>2.7</v>
      </c>
      <c r="J20" s="7">
        <v>683</v>
      </c>
      <c r="K20" s="7">
        <v>0.63700000000000001</v>
      </c>
      <c r="L20" s="8">
        <v>1.3999999999999999E+30</v>
      </c>
      <c r="M20" s="8">
        <f>Lfactor_14*G20*(BetaStar_ref_14/H20)*(Emittance_ref/I20)*F20*F20*K20</f>
        <v>1.1656810878657E+30</v>
      </c>
      <c r="N20" s="10">
        <f>Energy_14*E20*F20*1.602E-19*1000000000*0.001</f>
        <v>2122.3295999999996</v>
      </c>
      <c r="P20" t="s">
        <v>67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B2:E21"/>
  <sheetViews>
    <sheetView topLeftCell="A47" workbookViewId="0">
      <selection activeCell="B58" sqref="B58"/>
    </sheetView>
  </sheetViews>
  <sheetFormatPr defaultRowHeight="15"/>
  <cols>
    <col min="2" max="2" width="14.140625" customWidth="1"/>
    <col min="5" max="5" width="16.42578125" customWidth="1"/>
    <col min="6" max="6" width="18.140625" customWidth="1"/>
  </cols>
  <sheetData>
    <row r="2" spans="2:5">
      <c r="B2" t="s">
        <v>55</v>
      </c>
    </row>
    <row r="4" spans="2:5">
      <c r="B4" t="s">
        <v>0</v>
      </c>
      <c r="C4" t="s">
        <v>1</v>
      </c>
      <c r="D4" t="s">
        <v>2</v>
      </c>
      <c r="E4" t="s">
        <v>18</v>
      </c>
    </row>
    <row r="5" spans="2:5">
      <c r="B5" s="14">
        <v>40272</v>
      </c>
      <c r="C5">
        <v>2</v>
      </c>
      <c r="D5" s="1">
        <v>10000000000</v>
      </c>
      <c r="E5" s="9">
        <f t="shared" ref="E5:E8" si="0">Energy*C5*D5*1.602E-19*1000000000*0.001</f>
        <v>11.214</v>
      </c>
    </row>
    <row r="6" spans="2:5">
      <c r="B6" s="14">
        <v>40287</v>
      </c>
      <c r="C6">
        <v>4</v>
      </c>
      <c r="D6" s="1">
        <v>10000000000</v>
      </c>
      <c r="E6" s="9">
        <f t="shared" si="0"/>
        <v>22.428000000000001</v>
      </c>
    </row>
    <row r="7" spans="2:5">
      <c r="B7" s="14">
        <v>40300</v>
      </c>
      <c r="C7">
        <v>4</v>
      </c>
      <c r="D7" s="1">
        <v>20000000000</v>
      </c>
      <c r="E7" s="9">
        <f t="shared" si="0"/>
        <v>44.856000000000002</v>
      </c>
    </row>
    <row r="8" spans="2:5">
      <c r="B8" s="14">
        <v>40313</v>
      </c>
      <c r="C8">
        <v>4</v>
      </c>
      <c r="D8" s="1">
        <v>50000000000</v>
      </c>
      <c r="E8" s="9">
        <f t="shared" si="0"/>
        <v>112.14</v>
      </c>
    </row>
    <row r="9" spans="2:5">
      <c r="B9" s="13">
        <v>40328</v>
      </c>
      <c r="C9" s="7">
        <v>8</v>
      </c>
      <c r="D9" s="1">
        <v>50000000000</v>
      </c>
      <c r="E9" s="10">
        <f t="shared" ref="E9:E21" si="1">Energy*C9*D9*1.602E-19*1000000000*0.001</f>
        <v>224.28</v>
      </c>
    </row>
    <row r="10" spans="2:5">
      <c r="B10" s="13">
        <v>40344</v>
      </c>
      <c r="C10" s="7">
        <v>16</v>
      </c>
      <c r="D10" s="1">
        <v>50000000000</v>
      </c>
      <c r="E10" s="10">
        <f t="shared" si="1"/>
        <v>448.56</v>
      </c>
    </row>
    <row r="11" spans="2:5">
      <c r="B11" s="13">
        <v>40359</v>
      </c>
      <c r="C11" s="7">
        <v>32</v>
      </c>
      <c r="D11" s="1">
        <v>50000000000</v>
      </c>
      <c r="E11" s="10">
        <f t="shared" si="1"/>
        <v>897.12</v>
      </c>
    </row>
    <row r="12" spans="2:5">
      <c r="B12" s="13">
        <v>40374</v>
      </c>
      <c r="C12" s="7">
        <v>43</v>
      </c>
      <c r="D12" s="1">
        <v>50000000000</v>
      </c>
      <c r="E12" s="10">
        <f t="shared" si="1"/>
        <v>1205.5050000000001</v>
      </c>
    </row>
    <row r="13" spans="2:5">
      <c r="B13" s="13">
        <v>40389</v>
      </c>
      <c r="C13" s="7">
        <v>48</v>
      </c>
      <c r="D13" s="1">
        <v>80000000000</v>
      </c>
      <c r="E13" s="10">
        <f t="shared" si="1"/>
        <v>2153.0880000000002</v>
      </c>
    </row>
    <row r="14" spans="2:5">
      <c r="B14" s="13">
        <v>40405</v>
      </c>
      <c r="C14" s="7">
        <v>96</v>
      </c>
      <c r="D14" s="1">
        <v>80000000000</v>
      </c>
      <c r="E14" s="10">
        <f t="shared" si="1"/>
        <v>4306.1760000000004</v>
      </c>
    </row>
    <row r="15" spans="2:5">
      <c r="B15" s="13">
        <v>40420</v>
      </c>
      <c r="C15" s="7">
        <v>144</v>
      </c>
      <c r="D15" s="1">
        <v>80000000000</v>
      </c>
      <c r="E15" s="10">
        <f t="shared" si="1"/>
        <v>6459.2640000000001</v>
      </c>
    </row>
    <row r="16" spans="2:5">
      <c r="B16" s="13">
        <v>40436</v>
      </c>
      <c r="C16" s="7">
        <v>196</v>
      </c>
      <c r="D16" s="1">
        <v>80000000000</v>
      </c>
      <c r="E16" s="10">
        <f t="shared" si="1"/>
        <v>8791.7759999999998</v>
      </c>
    </row>
    <row r="17" spans="2:5">
      <c r="B17" s="13">
        <v>40451</v>
      </c>
      <c r="C17" s="7">
        <v>240</v>
      </c>
      <c r="D17" s="1">
        <v>80000000000</v>
      </c>
      <c r="E17" s="10">
        <f t="shared" si="1"/>
        <v>10765.44</v>
      </c>
    </row>
    <row r="18" spans="2:5">
      <c r="B18" s="13">
        <v>40466</v>
      </c>
      <c r="C18" s="7">
        <v>288</v>
      </c>
      <c r="D18" s="1">
        <v>80000000000</v>
      </c>
      <c r="E18" s="10">
        <f t="shared" si="1"/>
        <v>12918.528</v>
      </c>
    </row>
    <row r="19" spans="2:5">
      <c r="B19" s="13">
        <v>40481</v>
      </c>
      <c r="C19" s="7">
        <v>336</v>
      </c>
      <c r="D19" s="1">
        <v>80000000000</v>
      </c>
      <c r="E19" s="10">
        <f t="shared" si="1"/>
        <v>15071.616</v>
      </c>
    </row>
    <row r="20" spans="2:5">
      <c r="B20" s="13">
        <v>40497</v>
      </c>
      <c r="C20" s="7">
        <v>384</v>
      </c>
      <c r="D20" s="1">
        <v>80000000000</v>
      </c>
      <c r="E20" s="10">
        <f t="shared" si="1"/>
        <v>17224.704000000002</v>
      </c>
    </row>
    <row r="21" spans="2:5">
      <c r="B21" s="13">
        <v>40512</v>
      </c>
      <c r="C21" s="7">
        <v>432</v>
      </c>
      <c r="D21" s="1">
        <v>80000000000</v>
      </c>
      <c r="E21" s="10">
        <f t="shared" si="1"/>
        <v>19377.792000000001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B3:N44"/>
  <sheetViews>
    <sheetView topLeftCell="A43" workbookViewId="0">
      <selection activeCell="N82" sqref="N82"/>
    </sheetView>
  </sheetViews>
  <sheetFormatPr defaultRowHeight="15"/>
  <cols>
    <col min="2" max="2" width="15.42578125" customWidth="1"/>
    <col min="3" max="3" width="10.140625" customWidth="1"/>
    <col min="4" max="4" width="9.85546875" customWidth="1"/>
    <col min="5" max="5" width="10.28515625" customWidth="1"/>
    <col min="6" max="6" width="12" customWidth="1"/>
    <col min="7" max="7" width="7.5703125" customWidth="1"/>
    <col min="8" max="8" width="7.7109375" customWidth="1"/>
    <col min="9" max="10" width="11" customWidth="1"/>
    <col min="11" max="11" width="13" customWidth="1"/>
    <col min="12" max="12" width="14.42578125" customWidth="1"/>
    <col min="13" max="13" width="13.7109375" customWidth="1"/>
    <col min="14" max="14" width="27.28515625" customWidth="1"/>
  </cols>
  <sheetData>
    <row r="3" spans="2:14" ht="15" customHeight="1">
      <c r="B3" s="2" t="s">
        <v>5</v>
      </c>
      <c r="C3" s="2"/>
      <c r="D3" s="2"/>
      <c r="E3" s="3">
        <v>3500</v>
      </c>
      <c r="F3" s="2" t="s">
        <v>6</v>
      </c>
    </row>
    <row r="4" spans="2:14" ht="15" customHeight="1">
      <c r="B4" s="2" t="s">
        <v>7</v>
      </c>
      <c r="C4" s="2"/>
      <c r="D4" s="2"/>
      <c r="E4" s="4">
        <f>E3/0.938</f>
        <v>3731.34328358209</v>
      </c>
      <c r="F4" s="2"/>
    </row>
    <row r="5" spans="2:14">
      <c r="B5" s="2" t="s">
        <v>38</v>
      </c>
      <c r="C5" s="2"/>
      <c r="D5" s="2"/>
      <c r="E5" s="3">
        <v>2</v>
      </c>
      <c r="F5" s="2" t="s">
        <v>8</v>
      </c>
    </row>
    <row r="6" spans="2:14">
      <c r="B6" s="2" t="s">
        <v>9</v>
      </c>
      <c r="C6" s="2"/>
      <c r="D6" s="2"/>
      <c r="E6" s="3">
        <v>3.5</v>
      </c>
      <c r="F6" s="2" t="s">
        <v>10</v>
      </c>
    </row>
    <row r="7" spans="2:14">
      <c r="B7" s="2" t="s">
        <v>11</v>
      </c>
      <c r="C7" s="2"/>
      <c r="D7" s="2"/>
      <c r="E7" s="5">
        <f>11240*100*E4/(4*PI()*E5*E6)</f>
        <v>47678613.015802339</v>
      </c>
      <c r="F7" s="2"/>
    </row>
    <row r="10" spans="2:14">
      <c r="B10" t="s">
        <v>0</v>
      </c>
      <c r="C10" t="s">
        <v>26</v>
      </c>
      <c r="D10" t="s">
        <v>13</v>
      </c>
      <c r="E10" t="s">
        <v>1</v>
      </c>
      <c r="F10" t="s">
        <v>2</v>
      </c>
      <c r="G10" t="s">
        <v>3</v>
      </c>
      <c r="H10" t="s">
        <v>4</v>
      </c>
      <c r="I10" t="s">
        <v>23</v>
      </c>
      <c r="J10" t="s">
        <v>24</v>
      </c>
      <c r="K10" t="s">
        <v>20</v>
      </c>
      <c r="L10" t="s">
        <v>12</v>
      </c>
      <c r="M10" t="s">
        <v>18</v>
      </c>
      <c r="N10" t="s">
        <v>32</v>
      </c>
    </row>
    <row r="11" spans="2:14">
      <c r="B11" s="14">
        <v>40272</v>
      </c>
      <c r="C11" s="11">
        <f>31+28+31+4</f>
        <v>94</v>
      </c>
      <c r="D11" t="s">
        <v>15</v>
      </c>
      <c r="E11">
        <v>2</v>
      </c>
      <c r="F11" s="1">
        <v>10000000000</v>
      </c>
      <c r="G11">
        <v>1</v>
      </c>
      <c r="H11">
        <v>10</v>
      </c>
      <c r="I11">
        <v>0</v>
      </c>
      <c r="J11">
        <v>1</v>
      </c>
      <c r="K11" s="1">
        <v>1E+27</v>
      </c>
      <c r="L11" s="1">
        <f t="shared" ref="L11:L22" si="0">L_factor*G11*(2/H11)*F11*F11*J11</f>
        <v>9.5357226031604685E+26</v>
      </c>
      <c r="M11" s="19">
        <f t="shared" ref="M11:M44" si="1">Energy*E11*F11*1.602E-19*1000000000*0.001*0.001</f>
        <v>1.1214E-2</v>
      </c>
    </row>
    <row r="12" spans="2:14">
      <c r="B12" s="14">
        <v>40287</v>
      </c>
      <c r="C12" s="11">
        <f t="shared" ref="C12" si="2">31+28+31+19</f>
        <v>109</v>
      </c>
      <c r="D12" t="s">
        <v>14</v>
      </c>
      <c r="E12">
        <v>3</v>
      </c>
      <c r="F12" s="1">
        <v>12000000000</v>
      </c>
      <c r="G12">
        <v>2</v>
      </c>
      <c r="H12">
        <v>2</v>
      </c>
      <c r="I12">
        <v>0</v>
      </c>
      <c r="J12">
        <v>1</v>
      </c>
      <c r="K12" s="1">
        <v>1.3000000000000001E+28</v>
      </c>
      <c r="L12" s="1">
        <f t="shared" si="0"/>
        <v>1.3731440548551075E+28</v>
      </c>
      <c r="M12" s="19">
        <f t="shared" si="1"/>
        <v>2.0185200000000004E-2</v>
      </c>
    </row>
    <row r="13" spans="2:14">
      <c r="B13" s="14">
        <v>40306</v>
      </c>
      <c r="C13" s="11">
        <f>31+28+31+30+8</f>
        <v>128</v>
      </c>
      <c r="D13" t="s">
        <v>15</v>
      </c>
      <c r="E13">
        <v>2</v>
      </c>
      <c r="F13" s="1">
        <v>20000000000</v>
      </c>
      <c r="G13">
        <v>1</v>
      </c>
      <c r="H13">
        <v>2</v>
      </c>
      <c r="I13">
        <v>0</v>
      </c>
      <c r="J13">
        <v>1</v>
      </c>
      <c r="K13" s="1">
        <v>1.9999999999999999E+28</v>
      </c>
      <c r="L13" s="1">
        <f t="shared" si="0"/>
        <v>1.9071445206320934E+28</v>
      </c>
      <c r="M13" s="19">
        <f t="shared" si="1"/>
        <v>2.2428E-2</v>
      </c>
    </row>
    <row r="14" spans="2:14">
      <c r="B14" s="14">
        <v>40312</v>
      </c>
      <c r="C14" s="11">
        <f>31+28+31+30+14</f>
        <v>134</v>
      </c>
      <c r="D14" t="s">
        <v>16</v>
      </c>
      <c r="E14">
        <v>4</v>
      </c>
      <c r="F14" s="1">
        <v>22000000000</v>
      </c>
      <c r="G14">
        <v>2</v>
      </c>
      <c r="H14">
        <v>2</v>
      </c>
      <c r="I14">
        <v>0</v>
      </c>
      <c r="J14">
        <v>1</v>
      </c>
      <c r="K14" s="1">
        <v>3.3E+28</v>
      </c>
      <c r="L14" s="1">
        <f t="shared" si="0"/>
        <v>4.6152897399296661E+28</v>
      </c>
      <c r="M14" s="19">
        <f t="shared" si="1"/>
        <v>4.9341599999999999E-2</v>
      </c>
    </row>
    <row r="15" spans="2:14">
      <c r="B15" s="13">
        <v>40313</v>
      </c>
      <c r="C15" s="11">
        <f>31+28+31+30+15</f>
        <v>135</v>
      </c>
      <c r="D15" s="7" t="s">
        <v>17</v>
      </c>
      <c r="E15" s="7">
        <v>6</v>
      </c>
      <c r="F15" s="1">
        <v>21000000000</v>
      </c>
      <c r="G15" s="7">
        <v>3</v>
      </c>
      <c r="H15" s="7">
        <v>2</v>
      </c>
      <c r="I15" s="7">
        <v>0</v>
      </c>
      <c r="J15" s="7">
        <v>1</v>
      </c>
      <c r="K15" s="8">
        <v>6.0000000000000002E+28</v>
      </c>
      <c r="L15" s="8">
        <f t="shared" si="0"/>
        <v>6.3078805019906501E+28</v>
      </c>
      <c r="M15" s="19">
        <f t="shared" si="1"/>
        <v>7.0648200000000022E-2</v>
      </c>
    </row>
    <row r="16" spans="2:14">
      <c r="B16" s="13">
        <v>40322</v>
      </c>
      <c r="C16" s="11">
        <f>31+28+31+30+24</f>
        <v>144</v>
      </c>
      <c r="D16" s="7" t="s">
        <v>19</v>
      </c>
      <c r="E16" s="7">
        <v>13</v>
      </c>
      <c r="F16" s="1">
        <v>21000000000</v>
      </c>
      <c r="G16" s="7">
        <v>8</v>
      </c>
      <c r="H16" s="7">
        <v>2</v>
      </c>
      <c r="I16" s="7">
        <v>0</v>
      </c>
      <c r="J16" s="7">
        <v>1</v>
      </c>
      <c r="K16" s="8">
        <v>1.5E+29</v>
      </c>
      <c r="L16" s="8">
        <f t="shared" si="0"/>
        <v>1.6821014671975066E+29</v>
      </c>
      <c r="M16" s="30">
        <f t="shared" si="1"/>
        <v>0.15307110000000002</v>
      </c>
    </row>
    <row r="17" spans="2:13">
      <c r="B17" s="13">
        <v>40323</v>
      </c>
      <c r="C17" s="11">
        <f>31+28+31+30+25</f>
        <v>145</v>
      </c>
      <c r="D17" s="7" t="s">
        <v>19</v>
      </c>
      <c r="E17" s="7">
        <v>13</v>
      </c>
      <c r="F17" s="1">
        <v>24000000000</v>
      </c>
      <c r="G17" s="7">
        <v>8</v>
      </c>
      <c r="H17" s="7">
        <v>2</v>
      </c>
      <c r="I17" s="7">
        <v>0</v>
      </c>
      <c r="J17" s="7">
        <v>1</v>
      </c>
      <c r="K17" s="8">
        <v>1.9999999999999998E+29</v>
      </c>
      <c r="L17" s="8">
        <f t="shared" si="0"/>
        <v>2.197030487768172E+29</v>
      </c>
      <c r="M17" s="30">
        <f t="shared" si="1"/>
        <v>0.17493839999999999</v>
      </c>
    </row>
    <row r="18" spans="2:13">
      <c r="B18" s="13">
        <v>40349</v>
      </c>
      <c r="C18" s="11">
        <f>31+28+31+30+31+20</f>
        <v>171</v>
      </c>
      <c r="D18" s="7" t="s">
        <v>15</v>
      </c>
      <c r="E18" s="7">
        <v>2</v>
      </c>
      <c r="F18" s="8">
        <v>100000000000</v>
      </c>
      <c r="G18" s="7">
        <v>1</v>
      </c>
      <c r="H18" s="7">
        <v>3.5</v>
      </c>
      <c r="I18" s="7">
        <v>100</v>
      </c>
      <c r="J18" s="7">
        <v>0.98</v>
      </c>
      <c r="K18" s="8">
        <v>2.3000000000000001E+29</v>
      </c>
      <c r="L18" s="8">
        <f t="shared" si="0"/>
        <v>2.6700023288849308E+29</v>
      </c>
      <c r="M18" s="30">
        <f t="shared" si="1"/>
        <v>0.11214</v>
      </c>
    </row>
    <row r="19" spans="2:13">
      <c r="B19" s="13">
        <v>40358</v>
      </c>
      <c r="C19" s="11">
        <f>31+28+31+30+31+29</f>
        <v>180</v>
      </c>
      <c r="D19" s="7" t="s">
        <v>14</v>
      </c>
      <c r="E19" s="7">
        <v>3</v>
      </c>
      <c r="F19" s="8">
        <v>100000000000</v>
      </c>
      <c r="G19" s="7">
        <v>2</v>
      </c>
      <c r="H19" s="7">
        <v>3.5</v>
      </c>
      <c r="I19" s="7">
        <v>100</v>
      </c>
      <c r="J19" s="7">
        <v>0.98</v>
      </c>
      <c r="K19" s="8">
        <v>5.0000000000000001E+29</v>
      </c>
      <c r="L19" s="8">
        <f t="shared" si="0"/>
        <v>5.3400046577698616E+29</v>
      </c>
      <c r="M19" s="30">
        <f t="shared" si="1"/>
        <v>0.16821</v>
      </c>
    </row>
    <row r="20" spans="2:13">
      <c r="B20" s="13">
        <v>40361</v>
      </c>
      <c r="C20" s="11">
        <f>31+28+31+30+31+30+2</f>
        <v>183</v>
      </c>
      <c r="D20" s="7" t="s">
        <v>17</v>
      </c>
      <c r="E20" s="7">
        <v>6</v>
      </c>
      <c r="F20" s="8">
        <v>110000000000</v>
      </c>
      <c r="G20" s="7">
        <v>4</v>
      </c>
      <c r="H20" s="7">
        <v>3.5</v>
      </c>
      <c r="I20" s="7">
        <v>100</v>
      </c>
      <c r="J20" s="7">
        <v>0.98</v>
      </c>
      <c r="K20" s="8">
        <v>1.05E+30</v>
      </c>
      <c r="L20" s="8">
        <f t="shared" si="0"/>
        <v>1.2922811271803063E+30</v>
      </c>
      <c r="M20" s="30">
        <f t="shared" si="1"/>
        <v>0.370062</v>
      </c>
    </row>
    <row r="21" spans="2:13">
      <c r="B21" s="13">
        <v>40371</v>
      </c>
      <c r="C21" s="11">
        <f>31+28+31+30+31+30+12</f>
        <v>193</v>
      </c>
      <c r="D21" s="7" t="s">
        <v>21</v>
      </c>
      <c r="E21" s="7">
        <v>9</v>
      </c>
      <c r="F21" s="8">
        <v>90000000000</v>
      </c>
      <c r="G21" s="7">
        <v>6</v>
      </c>
      <c r="H21" s="7">
        <v>3.5</v>
      </c>
      <c r="I21" s="7">
        <v>100</v>
      </c>
      <c r="J21" s="7">
        <v>0.98</v>
      </c>
      <c r="K21" s="8">
        <v>8.8000000000000005E+29</v>
      </c>
      <c r="L21" s="8">
        <f t="shared" si="0"/>
        <v>1.2976211318380763E+30</v>
      </c>
      <c r="M21" s="30">
        <f t="shared" si="1"/>
        <v>0.45416700000000004</v>
      </c>
    </row>
    <row r="22" spans="2:13">
      <c r="B22" s="13">
        <v>40372</v>
      </c>
      <c r="C22" s="11">
        <f>31+28+31+30+31+30+13</f>
        <v>194</v>
      </c>
      <c r="D22" s="7" t="s">
        <v>22</v>
      </c>
      <c r="E22" s="7">
        <v>12</v>
      </c>
      <c r="F22" s="8">
        <v>90000000000</v>
      </c>
      <c r="G22" s="7">
        <v>8</v>
      </c>
      <c r="H22" s="7">
        <v>3.5</v>
      </c>
      <c r="I22" s="7">
        <v>100</v>
      </c>
      <c r="J22" s="7">
        <v>0.98</v>
      </c>
      <c r="K22" s="8">
        <v>1.3999999999999999E+30</v>
      </c>
      <c r="L22" s="8">
        <f t="shared" si="0"/>
        <v>1.7301615091174353E+30</v>
      </c>
      <c r="M22" s="30">
        <f t="shared" si="1"/>
        <v>0.60555600000000009</v>
      </c>
    </row>
    <row r="23" spans="2:13">
      <c r="B23" s="13">
        <v>40377</v>
      </c>
      <c r="C23" s="11">
        <f>31+28+31+30+31+30+18</f>
        <v>199</v>
      </c>
      <c r="D23" s="7" t="s">
        <v>19</v>
      </c>
      <c r="E23" s="7">
        <v>13</v>
      </c>
      <c r="F23" s="8">
        <v>90000000000</v>
      </c>
      <c r="G23" s="7">
        <v>8</v>
      </c>
      <c r="H23" s="7">
        <v>3.5</v>
      </c>
      <c r="I23" s="7">
        <v>100</v>
      </c>
      <c r="J23" s="7">
        <v>0.98</v>
      </c>
      <c r="K23" s="8">
        <v>1.5999999999999999E+30</v>
      </c>
      <c r="L23" s="8">
        <f t="shared" ref="L23:L28" si="3">L_factor*G23*(2/H23)*F23*F23*J23</f>
        <v>1.7301615091174353E+30</v>
      </c>
      <c r="M23" s="30">
        <f t="shared" si="1"/>
        <v>0.65601900000000002</v>
      </c>
    </row>
    <row r="24" spans="2:13">
      <c r="B24" s="13">
        <v>40388</v>
      </c>
      <c r="C24" s="11">
        <f>31+28+31+30+31+30+29</f>
        <v>210</v>
      </c>
      <c r="D24" s="7" t="s">
        <v>25</v>
      </c>
      <c r="E24" s="7">
        <v>25</v>
      </c>
      <c r="F24" s="8">
        <v>80000000000</v>
      </c>
      <c r="G24" s="7">
        <v>16</v>
      </c>
      <c r="H24" s="7">
        <v>3.5</v>
      </c>
      <c r="I24" s="7">
        <v>100</v>
      </c>
      <c r="J24" s="7">
        <v>0.98</v>
      </c>
      <c r="K24" s="8">
        <v>2.5999999999999999E+30</v>
      </c>
      <c r="L24" s="8">
        <f t="shared" si="3"/>
        <v>2.7340823847781691E+30</v>
      </c>
      <c r="M24" s="30">
        <f t="shared" si="1"/>
        <v>1.1214000000000002</v>
      </c>
    </row>
    <row r="25" spans="2:13">
      <c r="B25" s="13">
        <v>40394</v>
      </c>
      <c r="C25" s="11">
        <f>31+28+31+30+31+30+31+4</f>
        <v>216</v>
      </c>
      <c r="D25" s="7" t="s">
        <v>25</v>
      </c>
      <c r="E25" s="7">
        <v>25</v>
      </c>
      <c r="F25" s="8">
        <v>90000000000</v>
      </c>
      <c r="G25" s="7">
        <v>16</v>
      </c>
      <c r="H25" s="7">
        <v>3.5</v>
      </c>
      <c r="I25" s="7">
        <v>100</v>
      </c>
      <c r="J25" s="7">
        <v>0.98</v>
      </c>
      <c r="K25" s="8">
        <v>2.9999999999999998E+30</v>
      </c>
      <c r="L25" s="8">
        <f t="shared" si="3"/>
        <v>3.4603230182348706E+30</v>
      </c>
      <c r="M25" s="30">
        <f t="shared" si="1"/>
        <v>1.2615750000000001</v>
      </c>
    </row>
    <row r="26" spans="2:13">
      <c r="B26" s="13">
        <v>40397</v>
      </c>
      <c r="C26" s="11">
        <f>31+28+31+30+31+30+31+7</f>
        <v>219</v>
      </c>
      <c r="D26" s="7" t="s">
        <v>25</v>
      </c>
      <c r="E26" s="7">
        <v>25</v>
      </c>
      <c r="F26" s="8">
        <v>90000000000</v>
      </c>
      <c r="G26" s="7">
        <v>16</v>
      </c>
      <c r="H26" s="7">
        <v>3.5</v>
      </c>
      <c r="I26" s="7">
        <v>100</v>
      </c>
      <c r="J26" s="7">
        <v>0.98</v>
      </c>
      <c r="K26" s="8">
        <v>3.1999999999999997E+30</v>
      </c>
      <c r="L26" s="8">
        <f t="shared" si="3"/>
        <v>3.4603230182348706E+30</v>
      </c>
      <c r="M26" s="30">
        <f t="shared" si="1"/>
        <v>1.2615750000000001</v>
      </c>
    </row>
    <row r="27" spans="2:13">
      <c r="B27" s="13">
        <v>40398</v>
      </c>
      <c r="C27" s="11">
        <f>31+28+31+30+31+30+31+8</f>
        <v>220</v>
      </c>
      <c r="D27" s="7" t="s">
        <v>25</v>
      </c>
      <c r="E27" s="7">
        <v>25</v>
      </c>
      <c r="F27" s="8">
        <v>95000000000</v>
      </c>
      <c r="G27" s="7">
        <v>16</v>
      </c>
      <c r="H27" s="7">
        <v>3.5</v>
      </c>
      <c r="I27" s="7">
        <v>100</v>
      </c>
      <c r="J27" s="7">
        <v>0.98</v>
      </c>
      <c r="K27" s="8">
        <v>4.0000000000000001E+30</v>
      </c>
      <c r="L27" s="8">
        <f t="shared" si="3"/>
        <v>3.8554833629098404E+30</v>
      </c>
      <c r="M27" s="30">
        <f t="shared" si="1"/>
        <v>1.3316625000000002</v>
      </c>
    </row>
    <row r="28" spans="2:13">
      <c r="B28" s="13">
        <v>40410</v>
      </c>
      <c r="C28" s="12">
        <v>232</v>
      </c>
      <c r="D28" s="7" t="s">
        <v>27</v>
      </c>
      <c r="E28" s="7">
        <v>48</v>
      </c>
      <c r="F28" s="8">
        <v>90000000000</v>
      </c>
      <c r="G28" s="7">
        <v>36</v>
      </c>
      <c r="H28" s="7">
        <v>3.5</v>
      </c>
      <c r="I28" s="7">
        <v>100</v>
      </c>
      <c r="J28" s="7">
        <v>0.98</v>
      </c>
      <c r="K28" s="8">
        <v>6.5E+30</v>
      </c>
      <c r="L28" s="8">
        <f t="shared" si="3"/>
        <v>7.7857267910284591E+30</v>
      </c>
      <c r="M28" s="30">
        <f t="shared" si="1"/>
        <v>2.4222240000000004</v>
      </c>
    </row>
    <row r="29" spans="2:13">
      <c r="B29" s="13">
        <v>40413</v>
      </c>
      <c r="C29" s="12">
        <v>235</v>
      </c>
      <c r="D29" s="7" t="s">
        <v>27</v>
      </c>
      <c r="E29" s="7">
        <v>48</v>
      </c>
      <c r="F29" s="8">
        <v>97000000000</v>
      </c>
      <c r="G29" s="7">
        <v>36</v>
      </c>
      <c r="H29" s="7">
        <v>3.5</v>
      </c>
      <c r="I29" s="7">
        <v>100</v>
      </c>
      <c r="J29" s="7">
        <v>0.98</v>
      </c>
      <c r="K29" s="8">
        <v>9.5000000000000003E+30</v>
      </c>
      <c r="L29" s="8">
        <f t="shared" ref="L29:L34" si="4">L_factor*G29*(2/H29)*F29*F29*J29</f>
        <v>9.043938688492194E+30</v>
      </c>
      <c r="M29" s="30">
        <f t="shared" si="1"/>
        <v>2.6106191999999995</v>
      </c>
    </row>
    <row r="30" spans="2:13">
      <c r="B30" s="13">
        <v>40414</v>
      </c>
      <c r="C30" s="12">
        <v>236</v>
      </c>
      <c r="D30" s="7" t="s">
        <v>28</v>
      </c>
      <c r="E30" s="7">
        <v>50</v>
      </c>
      <c r="F30" s="8">
        <v>100000000000</v>
      </c>
      <c r="G30" s="7">
        <v>35</v>
      </c>
      <c r="H30" s="7">
        <v>3.5</v>
      </c>
      <c r="I30" s="7">
        <v>100</v>
      </c>
      <c r="J30" s="7">
        <v>0.98</v>
      </c>
      <c r="K30" s="8">
        <v>9.9999999999999996E+30</v>
      </c>
      <c r="L30" s="8">
        <f t="shared" si="4"/>
        <v>9.3450081510972583E+30</v>
      </c>
      <c r="M30" s="30">
        <f t="shared" si="1"/>
        <v>2.8035000000000001</v>
      </c>
    </row>
    <row r="31" spans="2:13">
      <c r="B31" s="13">
        <v>40416</v>
      </c>
      <c r="C31" s="12">
        <v>238</v>
      </c>
      <c r="D31" s="7" t="s">
        <v>29</v>
      </c>
      <c r="E31" s="7">
        <v>47</v>
      </c>
      <c r="F31" s="8">
        <v>114000000000</v>
      </c>
      <c r="G31" s="7">
        <v>33</v>
      </c>
      <c r="H31" s="7">
        <v>3.5</v>
      </c>
      <c r="I31" s="7">
        <v>100</v>
      </c>
      <c r="J31" s="7">
        <v>0.98</v>
      </c>
      <c r="K31" s="8">
        <v>1.0499999999999999E+31</v>
      </c>
      <c r="L31" s="8">
        <f t="shared" si="4"/>
        <v>1.1450785587842226E+31</v>
      </c>
      <c r="M31" s="30">
        <f t="shared" si="1"/>
        <v>3.0042306000000005</v>
      </c>
    </row>
    <row r="32" spans="2:13">
      <c r="B32" s="13">
        <v>40443</v>
      </c>
      <c r="C32" s="12">
        <v>265</v>
      </c>
      <c r="D32" s="7" t="s">
        <v>30</v>
      </c>
      <c r="E32" s="7">
        <v>24</v>
      </c>
      <c r="F32" s="8">
        <v>100000000000</v>
      </c>
      <c r="G32" s="7">
        <v>16</v>
      </c>
      <c r="H32" s="7">
        <v>3.5</v>
      </c>
      <c r="I32" s="7">
        <v>100</v>
      </c>
      <c r="J32" s="7">
        <v>0.98</v>
      </c>
      <c r="K32" s="8">
        <v>4.5999999999999999E+30</v>
      </c>
      <c r="L32" s="8">
        <f t="shared" si="4"/>
        <v>4.2720037262158893E+30</v>
      </c>
      <c r="M32" s="30">
        <f t="shared" si="1"/>
        <v>1.34568</v>
      </c>
    </row>
    <row r="33" spans="2:14">
      <c r="B33" s="13">
        <v>40444</v>
      </c>
      <c r="C33" s="12">
        <v>266</v>
      </c>
      <c r="D33" s="7" t="s">
        <v>31</v>
      </c>
      <c r="E33" s="7">
        <v>56</v>
      </c>
      <c r="F33" s="8">
        <v>105000000000</v>
      </c>
      <c r="G33" s="7">
        <v>47</v>
      </c>
      <c r="H33" s="7">
        <v>3.5</v>
      </c>
      <c r="I33" s="7">
        <v>100</v>
      </c>
      <c r="J33" s="7">
        <v>0.98</v>
      </c>
      <c r="K33" s="8">
        <v>1.99E+31</v>
      </c>
      <c r="L33" s="8">
        <f t="shared" si="4"/>
        <v>1.3835284567699491E+31</v>
      </c>
      <c r="M33" s="30">
        <f t="shared" si="1"/>
        <v>3.2969160000000004</v>
      </c>
      <c r="N33" t="s">
        <v>33</v>
      </c>
    </row>
    <row r="34" spans="2:14">
      <c r="B34" s="13">
        <v>40446</v>
      </c>
      <c r="C34" s="12">
        <v>268</v>
      </c>
      <c r="D34" s="7" t="s">
        <v>34</v>
      </c>
      <c r="E34" s="7">
        <v>104</v>
      </c>
      <c r="F34" s="8">
        <v>105000000000</v>
      </c>
      <c r="G34" s="7">
        <v>93</v>
      </c>
      <c r="H34" s="7">
        <v>3.5</v>
      </c>
      <c r="I34" s="7">
        <v>100</v>
      </c>
      <c r="J34" s="7">
        <v>0.98</v>
      </c>
      <c r="K34" s="8">
        <v>3.3999999999999998E+31</v>
      </c>
      <c r="L34" s="8">
        <f t="shared" si="4"/>
        <v>2.7376201378639418E+31</v>
      </c>
      <c r="M34" s="30">
        <f t="shared" si="1"/>
        <v>6.1228440000000006</v>
      </c>
      <c r="N34" s="7" t="s">
        <v>41</v>
      </c>
    </row>
    <row r="35" spans="2:14">
      <c r="B35" s="13">
        <v>40451</v>
      </c>
      <c r="C35" s="12">
        <v>273</v>
      </c>
      <c r="D35" s="7" t="s">
        <v>35</v>
      </c>
      <c r="E35" s="7">
        <v>152</v>
      </c>
      <c r="F35" s="8">
        <v>100000000000</v>
      </c>
      <c r="G35" s="7">
        <v>140</v>
      </c>
      <c r="H35" s="7">
        <v>3.5</v>
      </c>
      <c r="I35" s="7">
        <v>100</v>
      </c>
      <c r="J35" s="7">
        <v>0.98</v>
      </c>
      <c r="K35" s="8">
        <v>4.7999999999999996E+31</v>
      </c>
      <c r="L35" s="8">
        <f t="shared" ref="L35:L41" si="5">L_factor*G35*(2/H35)*F35*F35*J35</f>
        <v>3.7380032604389033E+31</v>
      </c>
      <c r="M35" s="30">
        <f t="shared" si="1"/>
        <v>8.5226399999999991</v>
      </c>
      <c r="N35" s="7"/>
    </row>
    <row r="36" spans="2:14">
      <c r="B36" s="13">
        <v>40454</v>
      </c>
      <c r="C36" s="12">
        <v>276</v>
      </c>
      <c r="D36" s="7" t="s">
        <v>35</v>
      </c>
      <c r="E36" s="7">
        <v>152</v>
      </c>
      <c r="F36" s="8">
        <v>114000000000</v>
      </c>
      <c r="G36" s="7">
        <v>140</v>
      </c>
      <c r="H36" s="7">
        <v>3.5</v>
      </c>
      <c r="I36" s="7">
        <v>100</v>
      </c>
      <c r="J36" s="7">
        <v>0.98</v>
      </c>
      <c r="K36" s="8">
        <v>5.0999999999999997E+31</v>
      </c>
      <c r="L36" s="8">
        <f t="shared" si="5"/>
        <v>4.8579090372663992E+31</v>
      </c>
      <c r="M36" s="30">
        <f t="shared" si="1"/>
        <v>9.7158096</v>
      </c>
      <c r="N36" s="7"/>
    </row>
    <row r="37" spans="2:14">
      <c r="B37" s="13">
        <v>40455</v>
      </c>
      <c r="C37" s="12">
        <v>277</v>
      </c>
      <c r="D37" s="7" t="s">
        <v>36</v>
      </c>
      <c r="E37" s="7">
        <v>200</v>
      </c>
      <c r="F37" s="8">
        <v>100000000000</v>
      </c>
      <c r="G37" s="7">
        <v>186</v>
      </c>
      <c r="H37" s="7">
        <v>3.5</v>
      </c>
      <c r="I37" s="7">
        <v>100</v>
      </c>
      <c r="J37" s="7">
        <v>0.98</v>
      </c>
      <c r="K37" s="8">
        <v>6.7999999999999996E+31</v>
      </c>
      <c r="L37" s="8">
        <f t="shared" si="5"/>
        <v>4.9662043317259712E+31</v>
      </c>
      <c r="M37" s="30">
        <f t="shared" si="1"/>
        <v>11.214</v>
      </c>
      <c r="N37" s="7"/>
    </row>
    <row r="38" spans="2:14">
      <c r="B38" s="13">
        <v>40459</v>
      </c>
      <c r="C38" s="12">
        <v>281</v>
      </c>
      <c r="D38" s="7" t="s">
        <v>37</v>
      </c>
      <c r="E38" s="7">
        <v>248</v>
      </c>
      <c r="F38" s="8">
        <v>103000000000</v>
      </c>
      <c r="G38" s="7">
        <v>233</v>
      </c>
      <c r="H38" s="7">
        <v>3.5</v>
      </c>
      <c r="I38" s="7">
        <v>100</v>
      </c>
      <c r="J38" s="7">
        <v>0.98</v>
      </c>
      <c r="K38" s="8">
        <v>8.8000000000000004E+31</v>
      </c>
      <c r="L38" s="8">
        <f t="shared" si="5"/>
        <v>6.5999707467636747E+31</v>
      </c>
      <c r="M38" s="30">
        <f t="shared" si="1"/>
        <v>14.322520800000001</v>
      </c>
      <c r="N38" s="7"/>
    </row>
    <row r="39" spans="2:14">
      <c r="B39" s="13">
        <v>40462</v>
      </c>
      <c r="C39" s="12">
        <v>284</v>
      </c>
      <c r="D39" s="7" t="s">
        <v>37</v>
      </c>
      <c r="E39" s="7">
        <v>248</v>
      </c>
      <c r="F39" s="8">
        <v>105000000000</v>
      </c>
      <c r="G39" s="7">
        <v>233</v>
      </c>
      <c r="H39" s="7">
        <v>3.5</v>
      </c>
      <c r="I39" s="7">
        <v>100</v>
      </c>
      <c r="J39" s="7">
        <v>0.98</v>
      </c>
      <c r="K39" s="8">
        <v>9.4000000000000005E+31</v>
      </c>
      <c r="L39" s="8">
        <f t="shared" si="5"/>
        <v>6.8587687324978327E+31</v>
      </c>
      <c r="M39" s="30">
        <f t="shared" si="1"/>
        <v>14.600628</v>
      </c>
      <c r="N39" s="7"/>
    </row>
    <row r="40" spans="2:14">
      <c r="B40" s="13">
        <v>40465</v>
      </c>
      <c r="C40" s="12">
        <v>284</v>
      </c>
      <c r="D40" s="7" t="s">
        <v>37</v>
      </c>
      <c r="E40" s="7">
        <v>248</v>
      </c>
      <c r="F40" s="8">
        <v>107000000000</v>
      </c>
      <c r="G40" s="7">
        <v>233</v>
      </c>
      <c r="H40" s="7">
        <v>3.5</v>
      </c>
      <c r="I40" s="7">
        <v>100</v>
      </c>
      <c r="J40" s="7">
        <v>0.98</v>
      </c>
      <c r="K40" s="8">
        <v>1.03E+32</v>
      </c>
      <c r="L40" s="8">
        <f>L_factor*G40*(2/H40)*F40*F40*J40</f>
        <v>7.1225436025730334E+31</v>
      </c>
      <c r="M40" s="30">
        <f t="shared" si="1"/>
        <v>14.878735199999999</v>
      </c>
      <c r="N40" s="7"/>
    </row>
    <row r="41" spans="2:14">
      <c r="B41" s="13">
        <v>40467</v>
      </c>
      <c r="C41" s="12">
        <v>289</v>
      </c>
      <c r="D41" s="7" t="s">
        <v>39</v>
      </c>
      <c r="E41" s="7">
        <v>312</v>
      </c>
      <c r="F41" s="8">
        <v>113000000000</v>
      </c>
      <c r="G41" s="7">
        <v>295</v>
      </c>
      <c r="H41" s="7">
        <v>3.5</v>
      </c>
      <c r="I41" s="7">
        <v>100</v>
      </c>
      <c r="J41" s="7">
        <v>0.98</v>
      </c>
      <c r="K41" s="8">
        <v>1.3099999999999999E+32</v>
      </c>
      <c r="L41" s="8">
        <f t="shared" si="5"/>
        <v>1.0057511622571847E+32</v>
      </c>
      <c r="M41" s="30">
        <f t="shared" si="1"/>
        <v>19.7680392</v>
      </c>
      <c r="N41" s="7"/>
    </row>
    <row r="42" spans="2:14">
      <c r="B42" s="13">
        <v>40469</v>
      </c>
      <c r="C42" s="12">
        <v>291</v>
      </c>
      <c r="D42" s="7" t="s">
        <v>39</v>
      </c>
      <c r="E42" s="7">
        <v>312</v>
      </c>
      <c r="F42" s="8">
        <v>115000000000</v>
      </c>
      <c r="G42" s="7">
        <v>295</v>
      </c>
      <c r="H42" s="7">
        <v>3.5</v>
      </c>
      <c r="I42" s="7">
        <v>100</v>
      </c>
      <c r="J42" s="7">
        <v>0.98</v>
      </c>
      <c r="K42" s="8">
        <v>1.45E+32</v>
      </c>
      <c r="L42" s="8">
        <f>L_factor*G42*(2/H42)*F42*F42*J42</f>
        <v>1.0416680335853448E+32</v>
      </c>
      <c r="M42" s="30">
        <f t="shared" si="1"/>
        <v>20.117916000000001</v>
      </c>
      <c r="N42" s="7"/>
    </row>
    <row r="43" spans="2:14">
      <c r="B43" s="13">
        <v>40475</v>
      </c>
      <c r="C43" s="12">
        <v>297</v>
      </c>
      <c r="D43" s="7" t="s">
        <v>39</v>
      </c>
      <c r="E43" s="7">
        <v>312</v>
      </c>
      <c r="F43" s="8">
        <v>117000000000</v>
      </c>
      <c r="G43" s="7">
        <v>295</v>
      </c>
      <c r="H43" s="7">
        <v>3.5</v>
      </c>
      <c r="I43" s="7">
        <v>100</v>
      </c>
      <c r="J43" s="7">
        <v>0.98</v>
      </c>
      <c r="K43" s="8">
        <v>1.5200000000000001E+32</v>
      </c>
      <c r="L43" s="8">
        <f>L_factor*G43*(2/H43)*F43*F43*J43</f>
        <v>1.0782150254631216E+32</v>
      </c>
      <c r="M43" s="30">
        <f t="shared" si="1"/>
        <v>20.467792799999998</v>
      </c>
      <c r="N43" s="7"/>
    </row>
    <row r="44" spans="2:14">
      <c r="B44" s="13">
        <v>40475</v>
      </c>
      <c r="C44" s="12">
        <v>298</v>
      </c>
      <c r="D44" s="7" t="s">
        <v>40</v>
      </c>
      <c r="E44" s="7">
        <v>368</v>
      </c>
      <c r="F44" s="8">
        <v>118000000000</v>
      </c>
      <c r="G44" s="7">
        <v>348</v>
      </c>
      <c r="H44" s="7">
        <v>3.5</v>
      </c>
      <c r="I44" s="7">
        <v>100</v>
      </c>
      <c r="J44" s="7">
        <v>0.98</v>
      </c>
      <c r="K44" s="8">
        <v>2.0499999999999999E+32</v>
      </c>
      <c r="L44" s="8">
        <f>L_factor*G44*(2/H44)*F44*F44*J44</f>
        <v>1.2937635124733036E+32</v>
      </c>
      <c r="M44" s="30">
        <f t="shared" si="1"/>
        <v>24.347836799999996</v>
      </c>
      <c r="N44" s="7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AD53"/>
  <sheetViews>
    <sheetView tabSelected="1" topLeftCell="A27" workbookViewId="0">
      <selection activeCell="O18" sqref="O18:O53"/>
    </sheetView>
  </sheetViews>
  <sheetFormatPr defaultRowHeight="15"/>
  <cols>
    <col min="2" max="2" width="15.42578125" customWidth="1"/>
    <col min="3" max="3" width="9.85546875" customWidth="1"/>
    <col min="4" max="4" width="10" customWidth="1"/>
    <col min="5" max="5" width="12" customWidth="1"/>
    <col min="6" max="6" width="7.5703125" customWidth="1"/>
    <col min="7" max="8" width="7.7109375" customWidth="1"/>
    <col min="9" max="10" width="11" customWidth="1"/>
    <col min="11" max="11" width="15.5703125" customWidth="1"/>
    <col min="12" max="12" width="12.5703125" customWidth="1"/>
    <col min="13" max="13" width="14.85546875" customWidth="1"/>
    <col min="14" max="14" width="15" customWidth="1"/>
    <col min="17" max="17" width="16.28515625" customWidth="1"/>
    <col min="18" max="18" width="14.28515625" customWidth="1"/>
    <col min="19" max="19" width="17.85546875" customWidth="1"/>
  </cols>
  <sheetData>
    <row r="3" spans="2:30" ht="15" customHeight="1">
      <c r="B3" s="2" t="s">
        <v>5</v>
      </c>
      <c r="C3" s="2"/>
      <c r="D3" s="16">
        <v>3500</v>
      </c>
      <c r="E3" s="2" t="s">
        <v>6</v>
      </c>
      <c r="K3" s="2"/>
      <c r="L3" s="15"/>
      <c r="M3" s="2"/>
      <c r="N3" s="2"/>
      <c r="O3" s="15"/>
      <c r="P3" s="2"/>
      <c r="Q3" s="2"/>
      <c r="R3" s="19"/>
    </row>
    <row r="4" spans="2:30" ht="15" customHeight="1">
      <c r="B4" s="2" t="s">
        <v>7</v>
      </c>
      <c r="C4" s="2"/>
      <c r="D4" s="17">
        <f>D3/0.938</f>
        <v>3731.34328358209</v>
      </c>
      <c r="E4" s="2"/>
      <c r="K4" s="2"/>
      <c r="L4" s="15"/>
      <c r="M4" s="2"/>
      <c r="N4" s="2"/>
      <c r="O4" s="15"/>
      <c r="P4" s="2"/>
      <c r="Q4" s="2"/>
      <c r="R4" s="19"/>
    </row>
    <row r="5" spans="2:30">
      <c r="B5" s="2" t="s">
        <v>38</v>
      </c>
      <c r="C5" s="2"/>
      <c r="D5" s="16">
        <v>1</v>
      </c>
      <c r="E5" s="2" t="s">
        <v>8</v>
      </c>
    </row>
    <row r="6" spans="2:30">
      <c r="B6" s="2" t="s">
        <v>9</v>
      </c>
      <c r="C6" s="2"/>
      <c r="D6" s="16">
        <v>2.2000000000000002</v>
      </c>
      <c r="E6" s="2" t="s">
        <v>10</v>
      </c>
      <c r="K6" s="20" t="s">
        <v>64</v>
      </c>
      <c r="L6" s="23" t="s">
        <v>65</v>
      </c>
      <c r="M6" s="23" t="s">
        <v>66</v>
      </c>
      <c r="N6" s="23" t="s">
        <v>69</v>
      </c>
    </row>
    <row r="7" spans="2:30">
      <c r="B7" s="2" t="s">
        <v>11</v>
      </c>
      <c r="C7" s="2"/>
      <c r="D7" s="18">
        <f>11240*100*D4/(4*PI()*betaStar_ref*D6)</f>
        <v>151704677.7775529</v>
      </c>
      <c r="E7" s="2"/>
      <c r="K7" s="2" t="s">
        <v>67</v>
      </c>
      <c r="L7" s="21">
        <f xml:space="preserve"> 2095.8*450/Energy</f>
        <v>269.46000000000004</v>
      </c>
      <c r="M7" s="21">
        <f>LHCbXing+250</f>
        <v>519.46</v>
      </c>
      <c r="N7" s="22">
        <f>SQRT(1/(1+POWER(Bunch_Length*1000000/Beam_size_LHCb,2)*POWER(TAN(LHCbTotalXing*0.000001),2)))</f>
        <v>0.66879638282801979</v>
      </c>
    </row>
    <row r="8" spans="2:30">
      <c r="B8" s="2" t="s">
        <v>59</v>
      </c>
      <c r="C8" s="2"/>
      <c r="D8" s="15">
        <v>1.2</v>
      </c>
      <c r="E8" s="2" t="s">
        <v>60</v>
      </c>
      <c r="K8" s="2" t="s">
        <v>68</v>
      </c>
      <c r="L8" s="21">
        <f>1049*450/Energy</f>
        <v>134.87142857142857</v>
      </c>
      <c r="M8" s="21">
        <f>ALICEXing+80</f>
        <v>214.87142857142857</v>
      </c>
      <c r="N8" s="22">
        <f>SQRT(1/(1+POWER(Bunch_Length*1000000/Beam_size_ALICE,2)*POWER(TAN(ALICETotalXing*0.000001),2)))</f>
        <v>0.96971885200869512</v>
      </c>
    </row>
    <row r="9" spans="2:30">
      <c r="B9" s="2" t="s">
        <v>59</v>
      </c>
      <c r="D9" s="39">
        <f>D8*0.000000001*300000000/4</f>
        <v>0.09</v>
      </c>
      <c r="E9" s="2" t="s">
        <v>8</v>
      </c>
      <c r="K9" s="2" t="s">
        <v>72</v>
      </c>
      <c r="L9" s="34">
        <v>120</v>
      </c>
      <c r="M9" s="34">
        <v>120</v>
      </c>
      <c r="N9" s="22">
        <f>SQRT(1/(1+POWER(Bunch_Length*1000000/Beam_size,2)*POWER(TAN(ATLAS_TotalXing*0.000001),2)))</f>
        <v>0.91369780446211657</v>
      </c>
    </row>
    <row r="10" spans="2:30">
      <c r="B10" s="2" t="s">
        <v>61</v>
      </c>
      <c r="D10" s="17">
        <f>1000000*SQRT(D5*D6*0.000001/D4)</f>
        <v>24.281680337241902</v>
      </c>
      <c r="E10" s="2" t="s">
        <v>10</v>
      </c>
    </row>
    <row r="11" spans="2:30">
      <c r="B11" s="2" t="s">
        <v>62</v>
      </c>
      <c r="D11" s="17">
        <f>1000000*SQRT(3*D6*0.000001/D4)</f>
        <v>42.057104037249168</v>
      </c>
      <c r="E11" s="2" t="s">
        <v>10</v>
      </c>
    </row>
    <row r="12" spans="2:30">
      <c r="B12" s="2" t="s">
        <v>63</v>
      </c>
      <c r="D12" s="17">
        <f>1000000*SQRT(10*D6*0.000001/D4)</f>
        <v>76.785415281809861</v>
      </c>
      <c r="E12" s="2" t="s">
        <v>10</v>
      </c>
    </row>
    <row r="13" spans="2:30">
      <c r="B13" s="2" t="s">
        <v>131</v>
      </c>
      <c r="D13" s="31">
        <f>0.000000000000002818*0.510998/938.272</f>
        <v>1.5347280575355543E-18</v>
      </c>
      <c r="E13" s="2" t="s">
        <v>8</v>
      </c>
      <c r="R13" t="s">
        <v>135</v>
      </c>
    </row>
    <row r="14" spans="2:30">
      <c r="B14" s="2"/>
      <c r="D14" s="31"/>
      <c r="E14" s="2"/>
    </row>
    <row r="15" spans="2:30">
      <c r="B15" s="2"/>
      <c r="D15" s="16"/>
      <c r="E15" s="2"/>
      <c r="R15" t="s">
        <v>0</v>
      </c>
      <c r="S15" t="s">
        <v>13</v>
      </c>
      <c r="T15" t="s">
        <v>1</v>
      </c>
      <c r="U15" t="s">
        <v>2</v>
      </c>
      <c r="V15" t="s">
        <v>3</v>
      </c>
      <c r="W15" t="s">
        <v>4</v>
      </c>
      <c r="X15" t="s">
        <v>9</v>
      </c>
      <c r="Y15" t="s">
        <v>23</v>
      </c>
      <c r="Z15" t="s">
        <v>24</v>
      </c>
      <c r="AA15" t="s">
        <v>20</v>
      </c>
      <c r="AB15" t="s">
        <v>56</v>
      </c>
      <c r="AC15" t="s">
        <v>18</v>
      </c>
      <c r="AD15" t="s">
        <v>132</v>
      </c>
    </row>
    <row r="16" spans="2:30">
      <c r="R16" s="13">
        <v>40793</v>
      </c>
      <c r="S16" s="7" t="s">
        <v>134</v>
      </c>
      <c r="T16" s="7">
        <v>264</v>
      </c>
      <c r="U16" s="8">
        <v>123000000000</v>
      </c>
      <c r="V16" s="7">
        <v>250</v>
      </c>
      <c r="W16" s="7">
        <v>1</v>
      </c>
      <c r="X16" s="7">
        <v>2.1</v>
      </c>
      <c r="Y16" s="7">
        <v>120</v>
      </c>
      <c r="Z16" s="7">
        <v>0.95</v>
      </c>
      <c r="AA16" s="8">
        <v>5.6999999999999997E+32</v>
      </c>
      <c r="AB16" s="8">
        <f t="shared" ref="AB16:AB22" si="0">L_factor*V16*(betaStar_ref/W16)*(Emittance_ref/X16)*U16*U16*Z16</f>
        <v>5.7105270791689179E+32</v>
      </c>
      <c r="AC16" s="30">
        <f t="shared" ref="AC16:AC18" si="1">Energy*T16*U16*1.602E-19*1000000000*0.001*0.001</f>
        <v>18.207050400000004</v>
      </c>
      <c r="AD16" s="33">
        <f>rp*Table1510[[#This Row],[Ib]]/(4*PI()*Table1510[[#This Row],[Emittance]]*0.000001)</f>
        <v>7.1533155878591827E-3</v>
      </c>
    </row>
    <row r="17" spans="2:30">
      <c r="B17" t="s">
        <v>0</v>
      </c>
      <c r="C17" t="s">
        <v>13</v>
      </c>
      <c r="D17" t="s">
        <v>1</v>
      </c>
      <c r="E17" t="s">
        <v>2</v>
      </c>
      <c r="F17" t="s">
        <v>3</v>
      </c>
      <c r="G17" t="s">
        <v>4</v>
      </c>
      <c r="H17" t="s">
        <v>9</v>
      </c>
      <c r="I17" t="s">
        <v>23</v>
      </c>
      <c r="J17" t="s">
        <v>24</v>
      </c>
      <c r="K17" t="s">
        <v>20</v>
      </c>
      <c r="L17" t="s">
        <v>56</v>
      </c>
      <c r="M17" t="s">
        <v>18</v>
      </c>
      <c r="N17" t="s">
        <v>132</v>
      </c>
      <c r="O17" t="s">
        <v>171</v>
      </c>
      <c r="R17" s="13">
        <v>40794</v>
      </c>
      <c r="S17" s="7" t="s">
        <v>98</v>
      </c>
      <c r="T17" s="7">
        <v>480</v>
      </c>
      <c r="U17" s="8">
        <v>127000000000</v>
      </c>
      <c r="V17" s="7">
        <v>424</v>
      </c>
      <c r="W17" s="7">
        <v>1</v>
      </c>
      <c r="X17" s="7">
        <v>2.2999999999999998</v>
      </c>
      <c r="Y17" s="7">
        <v>120</v>
      </c>
      <c r="Z17" s="7">
        <v>0.95</v>
      </c>
      <c r="AA17" s="8">
        <v>9.4000000000000005E+32</v>
      </c>
      <c r="AB17" s="8">
        <f t="shared" si="0"/>
        <v>9.4273736598963371E+32</v>
      </c>
      <c r="AC17" s="30">
        <f t="shared" si="1"/>
        <v>34.180271999999995</v>
      </c>
      <c r="AD17" s="33">
        <f>rp*Table1510[[#This Row],[Ib]]/(4*PI()*Table1510[[#This Row],[Emittance]]*0.000001)</f>
        <v>6.7436877599223906E-3</v>
      </c>
    </row>
    <row r="18" spans="2:30">
      <c r="B18" s="14">
        <v>40615</v>
      </c>
      <c r="C18" t="s">
        <v>14</v>
      </c>
      <c r="D18">
        <v>2</v>
      </c>
      <c r="E18" s="1">
        <v>100000000000</v>
      </c>
      <c r="F18">
        <v>2</v>
      </c>
      <c r="G18">
        <v>1.5</v>
      </c>
      <c r="H18">
        <v>2.7</v>
      </c>
      <c r="I18">
        <v>120</v>
      </c>
      <c r="J18">
        <v>0.98</v>
      </c>
      <c r="K18" s="1">
        <v>1.4999999999999999E+30</v>
      </c>
      <c r="L18" s="1">
        <f t="shared" ref="L18:L23" si="2">L_factor*F18*(betaStar_ref/G18)*(Emittance_ref/H18)*E18*E18*J18</f>
        <v>1.6151865940168102E+30</v>
      </c>
      <c r="M18" s="19">
        <f t="shared" ref="M18:M36" si="3">Energy*D18*E18*1.602E-19*1000000000*0.001*0.001</f>
        <v>0.11214</v>
      </c>
      <c r="N18" s="32">
        <f>rp*Table15[[#This Row],[Ib]]/(4*PI()*Table15[[#This Row],[Emittance]]*0.000001)</f>
        <v>4.523325123307523E-3</v>
      </c>
      <c r="O18" s="29">
        <f>70*0.001*1E-28*Table15[[#This Row],[L measured]]/Table15[[#This Row],[Nc]]</f>
        <v>5.25</v>
      </c>
      <c r="R18" s="13">
        <v>40794</v>
      </c>
      <c r="S18" s="7" t="s">
        <v>120</v>
      </c>
      <c r="T18" s="7">
        <v>912</v>
      </c>
      <c r="U18" s="8">
        <v>124000000000</v>
      </c>
      <c r="V18" s="7">
        <v>874</v>
      </c>
      <c r="W18" s="7">
        <v>1</v>
      </c>
      <c r="X18" s="7">
        <v>2.2000000000000002</v>
      </c>
      <c r="Y18" s="7">
        <v>120</v>
      </c>
      <c r="Z18" s="7">
        <v>0.95</v>
      </c>
      <c r="AA18" s="8">
        <v>1.97E+33</v>
      </c>
      <c r="AB18" s="8">
        <f t="shared" si="0"/>
        <v>1.9367670175090046E+33</v>
      </c>
      <c r="AC18" s="30">
        <f t="shared" si="1"/>
        <v>63.40844160000001</v>
      </c>
      <c r="AD18" s="33">
        <f>rp*Table1510[[#This Row],[Ib]]/(4*PI()*Table1510[[#This Row],[Emittance]]*0.000001)</f>
        <v>6.8836784149243569E-3</v>
      </c>
    </row>
    <row r="19" spans="2:30">
      <c r="B19" s="14">
        <v>40620</v>
      </c>
      <c r="C19" t="s">
        <v>57</v>
      </c>
      <c r="D19">
        <v>32</v>
      </c>
      <c r="E19" s="1">
        <v>110000000000</v>
      </c>
      <c r="F19">
        <v>30</v>
      </c>
      <c r="G19">
        <v>1.5</v>
      </c>
      <c r="H19">
        <v>2.7</v>
      </c>
      <c r="I19">
        <v>120</v>
      </c>
      <c r="J19">
        <v>0.98</v>
      </c>
      <c r="K19" s="1">
        <v>2.9999999999999999E+31</v>
      </c>
      <c r="L19" s="1">
        <f t="shared" si="2"/>
        <v>2.9315636681405107E+31</v>
      </c>
      <c r="M19" s="19">
        <f t="shared" si="3"/>
        <v>1.9736640000000001</v>
      </c>
      <c r="N19" s="32">
        <f>rp*Table15[[#This Row],[Ib]]/(4*PI()*Table15[[#This Row],[Emittance]]*0.000001)</f>
        <v>4.9756576356382752E-3</v>
      </c>
      <c r="O19" s="29">
        <f>70*0.001*1E-28*Table15[[#This Row],[L measured]]/Table15[[#This Row],[Nc]]</f>
        <v>7</v>
      </c>
      <c r="R19" s="13">
        <v>40795</v>
      </c>
      <c r="S19" s="7" t="s">
        <v>130</v>
      </c>
      <c r="T19" s="7">
        <v>1380</v>
      </c>
      <c r="U19" s="8">
        <v>127000000000</v>
      </c>
      <c r="V19" s="7">
        <v>1318</v>
      </c>
      <c r="W19" s="7">
        <v>1</v>
      </c>
      <c r="X19" s="7">
        <v>2.2000000000000002</v>
      </c>
      <c r="Y19" s="7">
        <v>120</v>
      </c>
      <c r="Z19" s="7">
        <v>0.95</v>
      </c>
      <c r="AA19" s="8">
        <v>2.95E+33</v>
      </c>
      <c r="AB19" s="8">
        <f t="shared" si="0"/>
        <v>3.0636943088132238E+33</v>
      </c>
      <c r="AC19" s="30">
        <f>Energy*T19*U19*1.602E-19*1000000000*0.001*0.001</f>
        <v>98.268282000000013</v>
      </c>
      <c r="AD19" s="33">
        <f>rp*Table1510[[#This Row],[Ib]]/(4*PI()*Table1510[[#This Row],[Emittance]]*0.000001)</f>
        <v>7.0502190217370427E-3</v>
      </c>
    </row>
    <row r="20" spans="2:30">
      <c r="B20" s="13">
        <v>40621</v>
      </c>
      <c r="C20" s="7" t="s">
        <v>58</v>
      </c>
      <c r="D20" s="7">
        <v>64</v>
      </c>
      <c r="E20" s="1">
        <v>115000000000</v>
      </c>
      <c r="F20" s="7">
        <v>62</v>
      </c>
      <c r="G20" s="7">
        <v>1.5</v>
      </c>
      <c r="H20" s="7">
        <v>2.7</v>
      </c>
      <c r="I20" s="7">
        <v>120</v>
      </c>
      <c r="J20" s="7">
        <v>0.98</v>
      </c>
      <c r="K20" s="8">
        <v>6.5999999999999998E+31</v>
      </c>
      <c r="L20" s="8">
        <f t="shared" si="2"/>
        <v>6.6218612388204175E+31</v>
      </c>
      <c r="M20" s="30">
        <f t="shared" si="3"/>
        <v>4.1267520000000006</v>
      </c>
      <c r="N20" s="32">
        <f>rp*Table15[[#This Row],[Ib]]/(4*PI()*Table15[[#This Row],[Emittance]]*0.000001)</f>
        <v>5.2018238918036513E-3</v>
      </c>
      <c r="O20" s="29">
        <f>70*0.001*1E-28*Table15[[#This Row],[L measured]]/Table15[[#This Row],[Nc]]</f>
        <v>7.4516129032258061</v>
      </c>
      <c r="R20" s="13">
        <v>40823</v>
      </c>
      <c r="S20" s="7" t="s">
        <v>161</v>
      </c>
      <c r="T20" s="7">
        <v>60</v>
      </c>
      <c r="U20" s="8">
        <v>106000000000</v>
      </c>
      <c r="V20" s="7">
        <v>57</v>
      </c>
      <c r="W20" s="7">
        <v>1</v>
      </c>
      <c r="X20" s="7">
        <v>3.2</v>
      </c>
      <c r="Y20" s="7">
        <v>120</v>
      </c>
      <c r="Z20" s="7">
        <v>0.92</v>
      </c>
      <c r="AA20" s="8">
        <v>6.2000000000000004E+31</v>
      </c>
      <c r="AB20" s="8">
        <f t="shared" si="0"/>
        <v>6.1453424414683234E+31</v>
      </c>
      <c r="AC20" s="30">
        <f>Energy*T20*U20*1.602E-19*1000000000*0.001*0.001</f>
        <v>3.566052</v>
      </c>
      <c r="AD20" s="33">
        <f>rp*Table1510[[#This Row],[Ib]]/(4*PI()*Table1510[[#This Row],[Emittance]]*0.000001)</f>
        <v>4.0455489071581649E-3</v>
      </c>
    </row>
    <row r="21" spans="2:30">
      <c r="B21" s="13">
        <v>40622</v>
      </c>
      <c r="C21" s="7" t="s">
        <v>70</v>
      </c>
      <c r="D21" s="7">
        <v>136</v>
      </c>
      <c r="E21" s="1">
        <v>117000000000</v>
      </c>
      <c r="F21" s="7">
        <v>134</v>
      </c>
      <c r="G21" s="7">
        <v>1.5</v>
      </c>
      <c r="H21" s="7">
        <v>2.7</v>
      </c>
      <c r="I21" s="7">
        <v>120</v>
      </c>
      <c r="J21" s="7">
        <v>0.98</v>
      </c>
      <c r="K21" s="8">
        <v>1.5E+32</v>
      </c>
      <c r="L21" s="8">
        <f t="shared" si="2"/>
        <v>1.4813893821282398E+32</v>
      </c>
      <c r="M21" s="30">
        <f t="shared" si="3"/>
        <v>8.9218584000000014</v>
      </c>
      <c r="N21" s="32">
        <f>rp*Table15[[#This Row],[Ib]]/(4*PI()*Table15[[#This Row],[Emittance]]*0.000001)</f>
        <v>5.2922903942698015E-3</v>
      </c>
      <c r="O21" s="29">
        <f>70*0.001*1E-28*Table15[[#This Row],[L measured]]/Table15[[#This Row],[Nc]]</f>
        <v>7.8358208955223878</v>
      </c>
      <c r="R21" s="13">
        <v>40826</v>
      </c>
      <c r="S21" s="7" t="s">
        <v>162</v>
      </c>
      <c r="T21" s="7">
        <v>1</v>
      </c>
      <c r="U21" s="8">
        <v>235000000000</v>
      </c>
      <c r="V21" s="7">
        <v>1</v>
      </c>
      <c r="W21" s="7">
        <v>1</v>
      </c>
      <c r="X21" s="7">
        <v>3.4</v>
      </c>
      <c r="Y21" s="7">
        <v>120</v>
      </c>
      <c r="Z21" s="7">
        <v>0.92</v>
      </c>
      <c r="AA21" s="8">
        <v>4.8999999999999998E+30</v>
      </c>
      <c r="AB21" s="8">
        <f t="shared" si="0"/>
        <v>4.9873091295462033E+30</v>
      </c>
      <c r="AC21" s="30">
        <f>Energy*T21*U21*1.602E-19*1000000000*0.001*0.001</f>
        <v>0.13176450000000001</v>
      </c>
      <c r="AD21" s="33">
        <f>rp*Table1510[[#This Row],[Ib]]/(4*PI()*Table1510[[#This Row],[Emittance]]*0.000001)</f>
        <v>8.4413229139371285E-3</v>
      </c>
    </row>
    <row r="22" spans="2:30">
      <c r="B22" s="13">
        <v>40624</v>
      </c>
      <c r="C22" s="7" t="s">
        <v>36</v>
      </c>
      <c r="D22" s="7">
        <v>200</v>
      </c>
      <c r="E22" s="1">
        <v>120000000000</v>
      </c>
      <c r="F22" s="7">
        <v>190</v>
      </c>
      <c r="G22" s="7">
        <v>1.5</v>
      </c>
      <c r="H22" s="7">
        <v>2.5</v>
      </c>
      <c r="I22" s="7">
        <v>120</v>
      </c>
      <c r="J22" s="7">
        <v>0.96</v>
      </c>
      <c r="K22" s="8">
        <v>2.4999999999999999E+32</v>
      </c>
      <c r="L22" s="8">
        <f t="shared" si="2"/>
        <v>2.3376404389853345E+32</v>
      </c>
      <c r="M22" s="30">
        <f t="shared" si="3"/>
        <v>13.456800000000001</v>
      </c>
      <c r="N22" s="32">
        <f>rp*Table15[[#This Row],[Ib]]/(4*PI()*Table15[[#This Row],[Emittance]]*0.000001)</f>
        <v>5.8622293598065501E-3</v>
      </c>
      <c r="O22" s="29">
        <f>70*0.001*1E-28*Table15[[#This Row],[L measured]]/Table15[[#This Row],[Nc]]</f>
        <v>9.2105263157894743</v>
      </c>
      <c r="R22" s="13">
        <v>40826</v>
      </c>
      <c r="S22" s="7" t="s">
        <v>160</v>
      </c>
      <c r="T22" s="7">
        <v>1</v>
      </c>
      <c r="U22" s="8">
        <v>135000000000</v>
      </c>
      <c r="V22" s="7">
        <v>1</v>
      </c>
      <c r="W22" s="7">
        <v>1</v>
      </c>
      <c r="X22" s="7">
        <v>2.2000000000000002</v>
      </c>
      <c r="Y22" s="7">
        <v>120</v>
      </c>
      <c r="Z22" s="7">
        <v>0.92</v>
      </c>
      <c r="AA22" s="8">
        <v>4.8999999999999998E+30</v>
      </c>
      <c r="AB22" s="8">
        <f t="shared" si="0"/>
        <v>2.5436323322962296E+30</v>
      </c>
      <c r="AC22" s="30">
        <f>Energy*T22*U22*1.602E-19*1000000000*0.001*0.001</f>
        <v>7.5694500000000012E-2</v>
      </c>
      <c r="AD22" s="33">
        <f>rp*Table1510[[#This Row],[Ib]]/(4*PI()*Table1510[[#This Row],[Emittance]]*0.000001)</f>
        <v>7.4943273065708714E-3</v>
      </c>
    </row>
    <row r="23" spans="2:30">
      <c r="B23" s="13">
        <v>40648</v>
      </c>
      <c r="C23" s="7" t="s">
        <v>76</v>
      </c>
      <c r="D23" s="7">
        <v>228</v>
      </c>
      <c r="E23" s="1">
        <v>120000000000</v>
      </c>
      <c r="F23" s="7">
        <v>214</v>
      </c>
      <c r="G23" s="7">
        <v>1.5</v>
      </c>
      <c r="H23" s="7">
        <v>2.5</v>
      </c>
      <c r="I23" s="7">
        <v>120</v>
      </c>
      <c r="J23" s="7">
        <v>0.96</v>
      </c>
      <c r="K23" s="8">
        <v>2.3E+32</v>
      </c>
      <c r="L23" s="8">
        <f t="shared" si="2"/>
        <v>2.6329213365413773E+32</v>
      </c>
      <c r="M23" s="30">
        <f t="shared" si="3"/>
        <v>15.340752</v>
      </c>
      <c r="N23" s="32">
        <f>rp*Table15[[#This Row],[Ib]]/(4*PI()*Table15[[#This Row],[Emittance]]*0.000001)</f>
        <v>5.8622293598065501E-3</v>
      </c>
      <c r="O23" s="29">
        <f>70*0.001*1E-28*Table15[[#This Row],[L measured]]/Table15[[#This Row],[Nc]]</f>
        <v>7.5233644859813085</v>
      </c>
    </row>
    <row r="24" spans="2:30">
      <c r="B24" s="13">
        <v>40650</v>
      </c>
      <c r="C24" s="7" t="s">
        <v>77</v>
      </c>
      <c r="D24" s="7">
        <v>336</v>
      </c>
      <c r="E24" s="1">
        <v>125000000000</v>
      </c>
      <c r="F24" s="7">
        <v>322</v>
      </c>
      <c r="G24" s="7">
        <v>1.5</v>
      </c>
      <c r="H24" s="7">
        <v>3</v>
      </c>
      <c r="I24" s="7">
        <v>120</v>
      </c>
      <c r="J24" s="7">
        <v>0.96</v>
      </c>
      <c r="K24" s="8">
        <v>3.5000000000000001E+32</v>
      </c>
      <c r="L24" s="8">
        <f t="shared" ref="L24:L29" si="4">L_factor*F24*(betaStar_ref/G24)*(Emittance_ref/H24)*E24*E24*J24</f>
        <v>3.5822531245872824E+32</v>
      </c>
      <c r="M24" s="30">
        <f t="shared" si="3"/>
        <v>23.549399999999999</v>
      </c>
      <c r="N24" s="32">
        <f>rp*Table15[[#This Row],[Ib]]/(4*PI()*Table15[[#This Row],[Emittance]]*0.000001)</f>
        <v>5.0887407637209628E-3</v>
      </c>
      <c r="O24" s="29">
        <f>70*0.001*1E-28*Table15[[#This Row],[L measured]]/Table15[[#This Row],[Nc]]</f>
        <v>7.6086956521739149</v>
      </c>
    </row>
    <row r="25" spans="2:30">
      <c r="B25" s="13">
        <v>40654</v>
      </c>
      <c r="C25" s="7" t="s">
        <v>98</v>
      </c>
      <c r="D25" s="7">
        <v>480</v>
      </c>
      <c r="E25" s="8">
        <v>115500000000</v>
      </c>
      <c r="F25" s="7">
        <v>424</v>
      </c>
      <c r="G25" s="7">
        <v>1.5</v>
      </c>
      <c r="H25" s="7">
        <v>2.7</v>
      </c>
      <c r="I25" s="7">
        <v>120</v>
      </c>
      <c r="J25" s="7">
        <v>0.96</v>
      </c>
      <c r="K25" s="8">
        <v>4.5999999999999999E+32</v>
      </c>
      <c r="L25" s="8">
        <f t="shared" si="4"/>
        <v>4.4747387830496751E+32</v>
      </c>
      <c r="M25" s="30">
        <f t="shared" si="3"/>
        <v>31.085208000000002</v>
      </c>
      <c r="N25" s="32">
        <f>rp*Table15[[#This Row],[Ib]]/(4*PI()*Table15[[#This Row],[Emittance]]*0.000001)</f>
        <v>5.2244405174201886E-3</v>
      </c>
      <c r="O25" s="29">
        <f>70*0.001*1E-28*Table15[[#This Row],[L measured]]/Table15[[#This Row],[Nc]]</f>
        <v>7.5943396226415096</v>
      </c>
    </row>
    <row r="26" spans="2:30">
      <c r="B26" s="13">
        <v>40655</v>
      </c>
      <c r="C26" s="7" t="s">
        <v>98</v>
      </c>
      <c r="D26" s="7">
        <v>480</v>
      </c>
      <c r="E26" s="8">
        <v>123000000000</v>
      </c>
      <c r="F26" s="7">
        <v>424</v>
      </c>
      <c r="G26" s="7">
        <v>1.5</v>
      </c>
      <c r="H26" s="7">
        <v>2.8</v>
      </c>
      <c r="I26" s="7">
        <v>120</v>
      </c>
      <c r="J26" s="7">
        <v>0.96</v>
      </c>
      <c r="K26" s="8">
        <v>4.7000000000000002E+32</v>
      </c>
      <c r="L26" s="8">
        <f t="shared" si="4"/>
        <v>4.8935009311682434E+32</v>
      </c>
      <c r="M26" s="30">
        <f t="shared" si="3"/>
        <v>33.103728000000004</v>
      </c>
      <c r="N26" s="32">
        <f>rp*Table15[[#This Row],[Ib]]/(4*PI()*Table15[[#This Row],[Emittance]]*0.000001)</f>
        <v>5.3649866908943872E-3</v>
      </c>
      <c r="O26" s="29">
        <f>70*0.001*1E-28*Table15[[#This Row],[L measured]]/Table15[[#This Row],[Nc]]</f>
        <v>7.7594339622641524</v>
      </c>
    </row>
    <row r="27" spans="2:30">
      <c r="B27" s="13">
        <v>40656</v>
      </c>
      <c r="C27" s="7" t="s">
        <v>98</v>
      </c>
      <c r="D27" s="7">
        <v>480</v>
      </c>
      <c r="E27" s="8">
        <v>123000000000</v>
      </c>
      <c r="F27" s="7">
        <v>424</v>
      </c>
      <c r="G27" s="7">
        <v>1.5</v>
      </c>
      <c r="H27" s="7">
        <v>2.7</v>
      </c>
      <c r="I27" s="7">
        <v>120</v>
      </c>
      <c r="J27" s="7">
        <v>0.96</v>
      </c>
      <c r="K27" s="8">
        <v>4.9999999999999997E+32</v>
      </c>
      <c r="L27" s="8">
        <f t="shared" si="4"/>
        <v>5.0747417063966975E+32</v>
      </c>
      <c r="M27" s="30">
        <f t="shared" si="3"/>
        <v>33.103728000000004</v>
      </c>
      <c r="N27" s="32">
        <f>rp*Table15[[#This Row],[Ib]]/(4*PI()*Table15[[#This Row],[Emittance]]*0.000001)</f>
        <v>5.5636899016682532E-3</v>
      </c>
      <c r="O27" s="29">
        <f>70*0.001*1E-28*Table15[[#This Row],[L measured]]/Table15[[#This Row],[Nc]]</f>
        <v>8.2547169811320753</v>
      </c>
    </row>
    <row r="28" spans="2:30">
      <c r="B28" s="13">
        <v>40660</v>
      </c>
      <c r="C28" s="7" t="s">
        <v>115</v>
      </c>
      <c r="D28" s="7">
        <v>624</v>
      </c>
      <c r="E28" s="8">
        <v>120000000000</v>
      </c>
      <c r="F28" s="7">
        <v>598</v>
      </c>
      <c r="G28" s="7">
        <v>1.5</v>
      </c>
      <c r="H28" s="7">
        <v>2.7</v>
      </c>
      <c r="I28" s="7">
        <v>120</v>
      </c>
      <c r="J28" s="7">
        <v>0.96</v>
      </c>
      <c r="K28" s="8">
        <v>6.7999999999999996E+32</v>
      </c>
      <c r="L28" s="8">
        <f t="shared" si="4"/>
        <v>6.812421942072272E+32</v>
      </c>
      <c r="M28" s="30">
        <f t="shared" si="3"/>
        <v>41.985216000000001</v>
      </c>
      <c r="N28" s="32">
        <f>rp*Table15[[#This Row],[Ib]]/(4*PI()*Table15[[#This Row],[Emittance]]*0.000001)</f>
        <v>5.4279901479690274E-3</v>
      </c>
      <c r="O28" s="29">
        <f>70*0.001*1E-28*Table15[[#This Row],[L measured]]/Table15[[#This Row],[Nc]]</f>
        <v>7.959866220735786</v>
      </c>
    </row>
    <row r="29" spans="2:30">
      <c r="B29" s="13">
        <v>40661</v>
      </c>
      <c r="C29" s="7" t="s">
        <v>115</v>
      </c>
      <c r="D29" s="7">
        <v>624</v>
      </c>
      <c r="E29" s="8">
        <v>120000000000</v>
      </c>
      <c r="F29" s="7">
        <v>598</v>
      </c>
      <c r="G29" s="7">
        <v>1.5</v>
      </c>
      <c r="H29" s="7">
        <v>2.6</v>
      </c>
      <c r="I29" s="7">
        <v>120</v>
      </c>
      <c r="J29" s="7">
        <v>0.96</v>
      </c>
      <c r="K29" s="8">
        <v>7.0000000000000002E+32</v>
      </c>
      <c r="L29" s="8">
        <f t="shared" si="4"/>
        <v>7.074438170613513E+32</v>
      </c>
      <c r="M29" s="30">
        <f t="shared" si="3"/>
        <v>41.985216000000001</v>
      </c>
      <c r="N29" s="32">
        <f>rp*Table15[[#This Row],[Ib]]/(4*PI()*Table15[[#This Row],[Emittance]]*0.000001)</f>
        <v>5.6367589998139898E-3</v>
      </c>
      <c r="O29" s="29">
        <f>70*0.001*1E-28*Table15[[#This Row],[L measured]]/Table15[[#This Row],[Nc]]</f>
        <v>8.19397993311037</v>
      </c>
    </row>
    <row r="30" spans="2:30">
      <c r="B30" s="13">
        <v>40663</v>
      </c>
      <c r="C30" s="7" t="s">
        <v>115</v>
      </c>
      <c r="D30" s="7">
        <v>624</v>
      </c>
      <c r="E30" s="8">
        <v>122000000000</v>
      </c>
      <c r="F30" s="7">
        <v>598</v>
      </c>
      <c r="G30" s="7">
        <v>1.5</v>
      </c>
      <c r="H30" s="7">
        <v>2.7</v>
      </c>
      <c r="I30" s="7">
        <v>120</v>
      </c>
      <c r="J30" s="7">
        <v>0.96</v>
      </c>
      <c r="K30" s="8">
        <v>7.0999999999999998E+32</v>
      </c>
      <c r="L30" s="8">
        <f t="shared" ref="L30" si="5">L_factor*F30*(betaStar_ref/G30)*(Emittance_ref/H30)*E30*E30*J30</f>
        <v>7.0413950129030351E+32</v>
      </c>
      <c r="M30" s="30">
        <f t="shared" si="3"/>
        <v>42.684969599999995</v>
      </c>
      <c r="N30" s="32">
        <f>rp*Table15[[#This Row],[Ib]]/(4*PI()*Table15[[#This Row],[Emittance]]*0.000001)</f>
        <v>5.5184566504351776E-3</v>
      </c>
      <c r="O30" s="29">
        <f>70*0.001*1E-28*Table15[[#This Row],[L measured]]/Table15[[#This Row],[Nc]]</f>
        <v>8.311036789297658</v>
      </c>
    </row>
    <row r="31" spans="2:30">
      <c r="B31" s="13">
        <v>40664</v>
      </c>
      <c r="C31" s="7" t="s">
        <v>117</v>
      </c>
      <c r="D31" s="7">
        <v>768</v>
      </c>
      <c r="E31" s="8">
        <v>120000000000</v>
      </c>
      <c r="F31" s="7">
        <v>700</v>
      </c>
      <c r="G31" s="7">
        <v>1.5</v>
      </c>
      <c r="H31" s="7">
        <v>2.7</v>
      </c>
      <c r="I31" s="7">
        <v>120</v>
      </c>
      <c r="J31" s="7">
        <v>0.96</v>
      </c>
      <c r="K31" s="8">
        <v>8.0000000000000004E+32</v>
      </c>
      <c r="L31" s="8">
        <f t="shared" ref="L31" si="6">L_factor*F31*(betaStar_ref/G31)*(Emittance_ref/H31)*E31*E31*J31</f>
        <v>7.9744069556029933E+32</v>
      </c>
      <c r="M31" s="30">
        <f t="shared" si="3"/>
        <v>51.674112000000001</v>
      </c>
      <c r="N31" s="32">
        <f>rp*Table15[[#This Row],[Ib]]/(4*PI()*Table15[[#This Row],[Emittance]]*0.000001)</f>
        <v>5.4279901479690274E-3</v>
      </c>
      <c r="O31" s="29">
        <f>70*0.001*1E-28*Table15[[#This Row],[L measured]]/Table15[[#This Row],[Nc]]</f>
        <v>8.0000000000000018</v>
      </c>
    </row>
    <row r="32" spans="2:30">
      <c r="B32" s="13">
        <v>40665</v>
      </c>
      <c r="C32" s="7" t="s">
        <v>117</v>
      </c>
      <c r="D32" s="7">
        <v>768</v>
      </c>
      <c r="E32" s="8">
        <v>128000000000</v>
      </c>
      <c r="F32" s="7">
        <v>700</v>
      </c>
      <c r="G32" s="7">
        <v>1.5</v>
      </c>
      <c r="H32" s="7">
        <v>2.9</v>
      </c>
      <c r="I32" s="7">
        <v>120</v>
      </c>
      <c r="J32" s="7">
        <v>0.96</v>
      </c>
      <c r="K32" s="8">
        <v>8.4000000000000002E+32</v>
      </c>
      <c r="L32" s="8">
        <f t="shared" ref="L32" si="7">L_factor*F32*(betaStar_ref/G32)*(Emittance_ref/H32)*E32*E32*J32</f>
        <v>8.4473717819353081E+32</v>
      </c>
      <c r="M32" s="30">
        <f t="shared" si="3"/>
        <v>55.119052799999999</v>
      </c>
      <c r="N32" s="32">
        <f>rp*Table15[[#This Row],[Ib]]/(4*PI()*Table15[[#This Row],[Emittance]]*0.000001)</f>
        <v>5.3905557331554478E-3</v>
      </c>
      <c r="O32" s="29">
        <f>70*0.001*1E-28*Table15[[#This Row],[L measured]]/Table15[[#This Row],[Nc]]</f>
        <v>8.4000000000000021</v>
      </c>
    </row>
    <row r="33" spans="2:15">
      <c r="B33" s="13">
        <v>40684</v>
      </c>
      <c r="C33" s="7" t="s">
        <v>120</v>
      </c>
      <c r="D33" s="7">
        <v>912</v>
      </c>
      <c r="E33" s="8">
        <v>119000000000</v>
      </c>
      <c r="F33" s="7">
        <v>874</v>
      </c>
      <c r="G33" s="7">
        <v>1.5</v>
      </c>
      <c r="H33" s="7">
        <v>3.1</v>
      </c>
      <c r="I33" s="7">
        <v>120</v>
      </c>
      <c r="J33" s="7">
        <v>0.96</v>
      </c>
      <c r="K33" s="8">
        <v>8.4999999999999998E+32</v>
      </c>
      <c r="L33" s="8">
        <f t="shared" ref="L33:L38" si="8">L_factor*F33*(betaStar_ref/G33)*(Emittance_ref/H33)*E33*E33*J33</f>
        <v>8.527962633275543E+32</v>
      </c>
      <c r="M33" s="30">
        <f t="shared" si="3"/>
        <v>60.851649600000009</v>
      </c>
      <c r="N33" s="32">
        <f>rp*Table15[[#This Row],[Ib]]/(4*PI()*Table15[[#This Row],[Emittance]]*0.000001)</f>
        <v>4.6882076197377652E-3</v>
      </c>
      <c r="O33" s="29">
        <f>70*0.001*1E-28*Table15[[#This Row],[L measured]]/Table15[[#This Row],[Nc]]</f>
        <v>6.8077803203661329</v>
      </c>
    </row>
    <row r="34" spans="2:15">
      <c r="B34" s="13">
        <v>40685</v>
      </c>
      <c r="C34" s="7" t="s">
        <v>120</v>
      </c>
      <c r="D34" s="7">
        <v>912</v>
      </c>
      <c r="E34" s="8">
        <v>120000000000</v>
      </c>
      <c r="F34" s="7">
        <v>874</v>
      </c>
      <c r="G34" s="7">
        <v>1.5</v>
      </c>
      <c r="H34" s="7">
        <v>2.9</v>
      </c>
      <c r="I34" s="7">
        <v>120</v>
      </c>
      <c r="J34" s="7">
        <v>0.96</v>
      </c>
      <c r="K34" s="8">
        <v>9.3500000000000007E+32</v>
      </c>
      <c r="L34" s="8">
        <f t="shared" si="8"/>
        <v>9.2699534649418454E+32</v>
      </c>
      <c r="M34" s="30">
        <f t="shared" si="3"/>
        <v>61.363008000000001</v>
      </c>
      <c r="N34" s="32">
        <f>rp*Table15[[#This Row],[Ib]]/(4*PI()*Table15[[#This Row],[Emittance]]*0.000001)</f>
        <v>5.0536459998332325E-3</v>
      </c>
      <c r="O34" s="29">
        <f>70*0.001*1E-28*Table15[[#This Row],[L measured]]/Table15[[#This Row],[Nc]]</f>
        <v>7.4885583524027473</v>
      </c>
    </row>
    <row r="35" spans="2:15">
      <c r="B35" s="13">
        <v>40686</v>
      </c>
      <c r="C35" s="7" t="s">
        <v>120</v>
      </c>
      <c r="D35" s="7">
        <v>912</v>
      </c>
      <c r="E35" s="8">
        <v>127000000000</v>
      </c>
      <c r="F35" s="7">
        <v>874</v>
      </c>
      <c r="G35" s="7">
        <v>1.5</v>
      </c>
      <c r="H35" s="7">
        <v>2.8</v>
      </c>
      <c r="I35" s="7">
        <v>120</v>
      </c>
      <c r="J35" s="7">
        <v>0.96</v>
      </c>
      <c r="K35" s="8">
        <v>1.0800000000000001E+33</v>
      </c>
      <c r="L35" s="8">
        <f t="shared" si="8"/>
        <v>1.0753812757056952E+33</v>
      </c>
      <c r="M35" s="30">
        <f t="shared" si="3"/>
        <v>64.942516800000007</v>
      </c>
      <c r="N35" s="32">
        <f>rp*Table15[[#This Row],[Ib]]/(4*PI()*Table15[[#This Row],[Emittance]]*0.000001)</f>
        <v>5.5394578027933919E-3</v>
      </c>
      <c r="O35" s="29">
        <f>70*0.001*1E-28*Table15[[#This Row],[L measured]]/Table15[[#This Row],[Nc]]</f>
        <v>8.6498855835240285</v>
      </c>
    </row>
    <row r="36" spans="2:15">
      <c r="B36" s="13">
        <v>40692</v>
      </c>
      <c r="C36" s="7" t="s">
        <v>125</v>
      </c>
      <c r="D36" s="7">
        <v>1092</v>
      </c>
      <c r="E36" s="8">
        <v>121000000000</v>
      </c>
      <c r="F36" s="7">
        <v>1042</v>
      </c>
      <c r="G36" s="7">
        <v>1.5</v>
      </c>
      <c r="H36" s="7">
        <v>2.7</v>
      </c>
      <c r="I36" s="7">
        <v>120</v>
      </c>
      <c r="J36" s="7">
        <v>0.96</v>
      </c>
      <c r="K36" s="8">
        <v>1.27E+33</v>
      </c>
      <c r="L36" s="8">
        <f t="shared" si="8"/>
        <v>1.2069139931640549E+33</v>
      </c>
      <c r="M36" s="30">
        <f t="shared" si="3"/>
        <v>74.086412399999986</v>
      </c>
      <c r="N36" s="32">
        <f>rp*Table15[[#This Row],[Ib]]/(4*PI()*Table15[[#This Row],[Emittance]]*0.000001)</f>
        <v>5.4732233992021029E-3</v>
      </c>
      <c r="O36" s="29">
        <f>70*0.001*1E-28*Table15[[#This Row],[L measured]]/Table15[[#This Row],[Nc]]</f>
        <v>8.5316698656429946</v>
      </c>
    </row>
    <row r="37" spans="2:15">
      <c r="B37" s="13">
        <v>40718</v>
      </c>
      <c r="C37" s="7" t="s">
        <v>129</v>
      </c>
      <c r="D37" s="7">
        <v>1236</v>
      </c>
      <c r="E37" s="8">
        <v>117000000000</v>
      </c>
      <c r="F37" s="7">
        <v>1180</v>
      </c>
      <c r="G37" s="7">
        <v>1.5</v>
      </c>
      <c r="H37" s="7">
        <v>2.8</v>
      </c>
      <c r="I37" s="7">
        <v>120</v>
      </c>
      <c r="J37" s="7">
        <v>0.96</v>
      </c>
      <c r="K37" s="8">
        <v>1.26E+33</v>
      </c>
      <c r="L37" s="8">
        <f t="shared" si="8"/>
        <v>1.232245743386425E+33</v>
      </c>
      <c r="M37" s="30">
        <f t="shared" ref="M37:M42" si="9">Energy*D37*E37*1.602E-19*1000000000*0.001*0.001</f>
        <v>81.083948399999997</v>
      </c>
      <c r="N37" s="32">
        <f>rp*Table15[[#This Row],[Ib]]/(4*PI()*Table15[[#This Row],[Emittance]]*0.000001)</f>
        <v>5.1032800230458811E-3</v>
      </c>
      <c r="O37" s="29">
        <f>70*0.001*1E-28*Table15[[#This Row],[L measured]]/Table15[[#This Row],[Nc]]</f>
        <v>7.4745762711864421</v>
      </c>
    </row>
    <row r="38" spans="2:15">
      <c r="B38" s="13">
        <v>40722</v>
      </c>
      <c r="C38" s="7" t="s">
        <v>130</v>
      </c>
      <c r="D38" s="7">
        <v>1380</v>
      </c>
      <c r="E38" s="8">
        <v>114000000000</v>
      </c>
      <c r="F38" s="7">
        <v>1318</v>
      </c>
      <c r="G38" s="7">
        <v>1.5</v>
      </c>
      <c r="H38" s="7">
        <v>3</v>
      </c>
      <c r="I38" s="7">
        <v>120</v>
      </c>
      <c r="J38" s="7">
        <v>0.96</v>
      </c>
      <c r="K38" s="8">
        <v>1.24E+33</v>
      </c>
      <c r="L38" s="8">
        <f t="shared" si="8"/>
        <v>1.219566497355641E+33</v>
      </c>
      <c r="M38" s="30">
        <f t="shared" si="9"/>
        <v>88.209324000000009</v>
      </c>
      <c r="N38" s="32">
        <f>rp*Table15[[#This Row],[Ib]]/(4*PI()*Table15[[#This Row],[Emittance]]*0.000001)</f>
        <v>4.6409315765135184E-3</v>
      </c>
      <c r="O38" s="29">
        <f>70*0.001*1E-28*Table15[[#This Row],[L measured]]/Table15[[#This Row],[Nc]]</f>
        <v>6.5857359635811834</v>
      </c>
    </row>
    <row r="39" spans="2:15">
      <c r="B39" s="13">
        <v>40746</v>
      </c>
      <c r="C39" s="7" t="s">
        <v>130</v>
      </c>
      <c r="D39" s="7">
        <v>1380</v>
      </c>
      <c r="E39" s="8">
        <v>112000000000</v>
      </c>
      <c r="F39" s="7">
        <v>1318</v>
      </c>
      <c r="G39" s="7">
        <v>1.5</v>
      </c>
      <c r="H39" s="7">
        <v>2.4</v>
      </c>
      <c r="I39" s="7">
        <v>120</v>
      </c>
      <c r="J39" s="7">
        <v>0.96</v>
      </c>
      <c r="K39" s="8">
        <v>1.55E+33</v>
      </c>
      <c r="L39" s="8">
        <f t="shared" ref="L39:L44" si="10">L_factor*F39*(betaStar_ref/G39)*(Emittance_ref/H39)*E39*E39*J39</f>
        <v>1.4714375714478645E+33</v>
      </c>
      <c r="M39" s="30">
        <f t="shared" si="9"/>
        <v>86.661792000000005</v>
      </c>
      <c r="N39" s="32">
        <f>rp*Table15[[#This Row],[Ib]]/(4*PI()*Table15[[#This Row],[Emittance]]*0.000001)</f>
        <v>5.6993896553674782E-3</v>
      </c>
      <c r="O39" s="29">
        <f>70*0.001*1E-28*Table15[[#This Row],[L measured]]/Table15[[#This Row],[Nc]]</f>
        <v>8.2321699544764808</v>
      </c>
    </row>
    <row r="40" spans="2:15">
      <c r="B40" s="13">
        <v>40747</v>
      </c>
      <c r="C40" s="7" t="s">
        <v>130</v>
      </c>
      <c r="D40" s="7">
        <v>1380</v>
      </c>
      <c r="E40" s="8">
        <v>120000000000</v>
      </c>
      <c r="F40" s="7">
        <v>1318</v>
      </c>
      <c r="G40" s="7">
        <v>1.5</v>
      </c>
      <c r="H40" s="7">
        <v>2.5</v>
      </c>
      <c r="I40" s="7">
        <v>120</v>
      </c>
      <c r="J40" s="7">
        <v>0.96</v>
      </c>
      <c r="K40" s="8">
        <v>1.6700000000000001E+33</v>
      </c>
      <c r="L40" s="8">
        <f t="shared" si="10"/>
        <v>1.6215842624119325E+33</v>
      </c>
      <c r="M40" s="30">
        <f t="shared" si="9"/>
        <v>92.851920000000007</v>
      </c>
      <c r="N40" s="32">
        <f>rp*Table15[[#This Row],[Ib]]/(4*PI()*Table15[[#This Row],[Emittance]]*0.000001)</f>
        <v>5.8622293598065501E-3</v>
      </c>
      <c r="O40" s="29">
        <f>70*0.001*1E-28*Table15[[#This Row],[L measured]]/Table15[[#This Row],[Nc]]</f>
        <v>8.8694992412746601</v>
      </c>
    </row>
    <row r="41" spans="2:15">
      <c r="B41" s="13">
        <v>40748</v>
      </c>
      <c r="C41" s="7" t="s">
        <v>130</v>
      </c>
      <c r="D41" s="7">
        <v>1380</v>
      </c>
      <c r="E41" s="8">
        <v>120000000000</v>
      </c>
      <c r="F41" s="7">
        <v>1318</v>
      </c>
      <c r="G41" s="7">
        <v>1.5</v>
      </c>
      <c r="H41" s="7">
        <v>2.4</v>
      </c>
      <c r="I41" s="7">
        <v>120</v>
      </c>
      <c r="J41" s="7">
        <v>0.96</v>
      </c>
      <c r="K41" s="8">
        <v>1.75E+33</v>
      </c>
      <c r="L41" s="8">
        <f t="shared" si="10"/>
        <v>1.6891502733457628E+33</v>
      </c>
      <c r="M41" s="30">
        <f t="shared" si="9"/>
        <v>92.851920000000007</v>
      </c>
      <c r="N41" s="32">
        <f>rp*Table15[[#This Row],[Ib]]/(4*PI()*Table15[[#This Row],[Emittance]]*0.000001)</f>
        <v>6.1064889164651566E-3</v>
      </c>
      <c r="O41" s="29">
        <f>70*0.001*1E-28*Table15[[#This Row],[L measured]]/Table15[[#This Row],[Nc]]</f>
        <v>9.2943854324734456</v>
      </c>
    </row>
    <row r="42" spans="2:15">
      <c r="B42" s="13">
        <v>40755</v>
      </c>
      <c r="C42" s="7" t="s">
        <v>130</v>
      </c>
      <c r="D42" s="7">
        <v>1380</v>
      </c>
      <c r="E42" s="8">
        <v>121000000000</v>
      </c>
      <c r="F42" s="7">
        <v>1318</v>
      </c>
      <c r="G42" s="7">
        <v>1.5</v>
      </c>
      <c r="H42" s="7">
        <v>2</v>
      </c>
      <c r="I42" s="7">
        <v>120</v>
      </c>
      <c r="J42" s="7">
        <v>0.95</v>
      </c>
      <c r="K42" s="8">
        <v>2.04E+33</v>
      </c>
      <c r="L42" s="8">
        <f t="shared" si="10"/>
        <v>2.0394363450045614E+33</v>
      </c>
      <c r="M42" s="30">
        <f t="shared" si="9"/>
        <v>93.625686000000002</v>
      </c>
      <c r="N42" s="32">
        <f>rp*Table15[[#This Row],[Ib]]/(4*PI()*Table15[[#This Row],[Emittance]]*0.000001)</f>
        <v>7.3888515889228385E-3</v>
      </c>
      <c r="O42" s="29">
        <f>70*0.001*1E-28*Table15[[#This Row],[L measured]]/Table15[[#This Row],[Nc]]</f>
        <v>10.834597875569045</v>
      </c>
    </row>
    <row r="43" spans="2:15">
      <c r="B43" s="13">
        <v>40762</v>
      </c>
      <c r="C43" s="7" t="s">
        <v>130</v>
      </c>
      <c r="D43" s="7">
        <v>1380</v>
      </c>
      <c r="E43" s="8">
        <v>126000000000</v>
      </c>
      <c r="F43" s="7">
        <v>1318</v>
      </c>
      <c r="G43" s="7">
        <v>1.5</v>
      </c>
      <c r="H43" s="7">
        <v>2</v>
      </c>
      <c r="I43" s="7">
        <v>120</v>
      </c>
      <c r="J43" s="7">
        <v>0.95</v>
      </c>
      <c r="K43" s="8">
        <v>2.1000000000000001E+33</v>
      </c>
      <c r="L43" s="8">
        <f t="shared" si="10"/>
        <v>2.2114672094318979E+33</v>
      </c>
      <c r="M43" s="30">
        <f t="shared" ref="M43:M48" si="11">Energy*D43*E43*1.602E-19*1000000000*0.001*0.001</f>
        <v>97.494516000000004</v>
      </c>
      <c r="N43" s="33">
        <f>rp*Table15[[#This Row],[Ib]]/(4*PI()*Table15[[#This Row],[Emittance]]*0.000001)</f>
        <v>7.6941760347460971E-3</v>
      </c>
      <c r="O43" s="29">
        <f>70*0.001*1E-28*Table15[[#This Row],[L measured]]/Table15[[#This Row],[Nc]]</f>
        <v>11.153262518968134</v>
      </c>
    </row>
    <row r="44" spans="2:15">
      <c r="B44" s="13">
        <v>40767</v>
      </c>
      <c r="C44" s="7" t="s">
        <v>130</v>
      </c>
      <c r="D44" s="7">
        <v>1380</v>
      </c>
      <c r="E44" s="8">
        <v>135000000000</v>
      </c>
      <c r="F44" s="7">
        <v>1318</v>
      </c>
      <c r="G44" s="7">
        <v>1.5</v>
      </c>
      <c r="H44" s="7">
        <v>2.2999999999999998</v>
      </c>
      <c r="I44" s="7">
        <v>120</v>
      </c>
      <c r="J44" s="7">
        <v>0.95</v>
      </c>
      <c r="K44" s="8">
        <v>2.1999999999999999E+33</v>
      </c>
      <c r="L44" s="8">
        <f t="shared" si="10"/>
        <v>2.2075426890957281E+33</v>
      </c>
      <c r="M44" s="30">
        <f t="shared" si="11"/>
        <v>104.45841</v>
      </c>
      <c r="N44" s="33">
        <f>rp*Table15[[#This Row],[Ib]]/(4*PI()*Table15[[#This Row],[Emittance]]*0.000001)</f>
        <v>7.1684869888938799E-3</v>
      </c>
      <c r="O44" s="29">
        <f>70*0.001*1E-28*Table15[[#This Row],[L measured]]/Table15[[#This Row],[Nc]]</f>
        <v>11.684370257966616</v>
      </c>
    </row>
    <row r="45" spans="2:15">
      <c r="B45" s="13">
        <v>40773</v>
      </c>
      <c r="C45" s="7" t="s">
        <v>130</v>
      </c>
      <c r="D45" s="7">
        <v>1380</v>
      </c>
      <c r="E45" s="8">
        <v>128000000000</v>
      </c>
      <c r="F45" s="7">
        <v>1318</v>
      </c>
      <c r="G45" s="7">
        <v>1.5</v>
      </c>
      <c r="H45" s="7">
        <v>1.9</v>
      </c>
      <c r="I45" s="7">
        <v>120</v>
      </c>
      <c r="J45" s="7">
        <v>0.95</v>
      </c>
      <c r="K45" s="8">
        <v>2.39E+33</v>
      </c>
      <c r="L45" s="8">
        <f t="shared" ref="L45:L50" si="12">L_factor*F45*(betaStar_ref/G45)*(Emittance_ref/H45)*E45*E45*J45</f>
        <v>2.4023470554250846E+33</v>
      </c>
      <c r="M45" s="30">
        <f t="shared" si="11"/>
        <v>99.042047999999994</v>
      </c>
      <c r="N45" s="33">
        <f>rp*Table15[[#This Row],[Ib]]/(4*PI()*Table15[[#This Row],[Emittance]]*0.000001)</f>
        <v>8.2276903295530508E-3</v>
      </c>
      <c r="O45" s="29">
        <f>70*0.001*1E-28*Table15[[#This Row],[L measured]]/Table15[[#This Row],[Nc]]</f>
        <v>12.693474962063734</v>
      </c>
    </row>
    <row r="46" spans="2:15">
      <c r="B46" s="13">
        <v>40795</v>
      </c>
      <c r="C46" s="7" t="s">
        <v>130</v>
      </c>
      <c r="D46" s="7">
        <v>1380</v>
      </c>
      <c r="E46" s="8">
        <v>127000000000</v>
      </c>
      <c r="F46" s="7">
        <v>1318</v>
      </c>
      <c r="G46" s="7">
        <v>1</v>
      </c>
      <c r="H46" s="7">
        <v>2.2000000000000002</v>
      </c>
      <c r="I46" s="7">
        <v>120</v>
      </c>
      <c r="J46" s="7">
        <v>0.91</v>
      </c>
      <c r="K46" s="8">
        <v>2.9799999999999999E+33</v>
      </c>
      <c r="L46" s="8">
        <f t="shared" si="12"/>
        <v>2.9346966537052988E+33</v>
      </c>
      <c r="M46" s="30">
        <f t="shared" si="11"/>
        <v>98.268282000000013</v>
      </c>
      <c r="N46" s="33">
        <f>rp*Table15[[#This Row],[Ib]]/(4*PI()*Table15[[#This Row],[Emittance]]*0.000001)</f>
        <v>7.0502190217370427E-3</v>
      </c>
      <c r="O46" s="29">
        <f>70*0.001*1E-28*Table15[[#This Row],[L measured]]/Table15[[#This Row],[Nc]]</f>
        <v>15.827010622154781</v>
      </c>
    </row>
    <row r="47" spans="2:15">
      <c r="B47" s="13">
        <v>40798</v>
      </c>
      <c r="C47" s="7" t="s">
        <v>130</v>
      </c>
      <c r="D47" s="7">
        <v>1380</v>
      </c>
      <c r="E47" s="8">
        <v>130000000000</v>
      </c>
      <c r="F47" s="7">
        <v>1318</v>
      </c>
      <c r="G47" s="7">
        <v>1</v>
      </c>
      <c r="H47" s="7">
        <v>2.2000000000000002</v>
      </c>
      <c r="I47" s="7">
        <v>120</v>
      </c>
      <c r="J47" s="7">
        <v>0.91</v>
      </c>
      <c r="K47" s="8">
        <v>3.0500000000000002E+33</v>
      </c>
      <c r="L47" s="8">
        <f t="shared" si="12"/>
        <v>3.0749813037150197E+33</v>
      </c>
      <c r="M47" s="30">
        <f t="shared" si="11"/>
        <v>100.58958</v>
      </c>
      <c r="N47" s="33">
        <f>rp*Table15[[#This Row],[Ib]]/(4*PI()*Table15[[#This Row],[Emittance]]*0.000001)</f>
        <v>7.2167596285497284E-3</v>
      </c>
      <c r="O47" s="29">
        <f>70*0.001*1E-28*Table15[[#This Row],[L measured]]/Table15[[#This Row],[Nc]]</f>
        <v>16.198786039453722</v>
      </c>
    </row>
    <row r="48" spans="2:15">
      <c r="B48" s="13">
        <v>40800</v>
      </c>
      <c r="C48" s="7" t="s">
        <v>130</v>
      </c>
      <c r="D48" s="7">
        <v>1380</v>
      </c>
      <c r="E48" s="8">
        <v>132600000000</v>
      </c>
      <c r="F48" s="7">
        <v>1318</v>
      </c>
      <c r="G48" s="7">
        <v>1</v>
      </c>
      <c r="H48" s="7">
        <v>2.2000000000000002</v>
      </c>
      <c r="I48" s="7">
        <v>120</v>
      </c>
      <c r="J48" s="7">
        <v>0.91</v>
      </c>
      <c r="K48" s="8">
        <v>3.25E+33</v>
      </c>
      <c r="L48" s="8">
        <f t="shared" si="12"/>
        <v>3.1992105483851064E+33</v>
      </c>
      <c r="M48" s="30">
        <f t="shared" si="11"/>
        <v>102.60137160000002</v>
      </c>
      <c r="N48" s="33">
        <f>rp*Table15[[#This Row],[Ib]]/(4*PI()*Table15[[#This Row],[Emittance]]*0.000001)</f>
        <v>7.3610948211207229E-3</v>
      </c>
      <c r="O48" s="29">
        <f>70*0.001*1E-28*Table15[[#This Row],[L measured]]/Table15[[#This Row],[Nc]]</f>
        <v>17.261001517450683</v>
      </c>
    </row>
    <row r="49" spans="2:15">
      <c r="B49" s="13">
        <v>40801</v>
      </c>
      <c r="C49" s="7" t="s">
        <v>130</v>
      </c>
      <c r="D49" s="7">
        <v>1380</v>
      </c>
      <c r="E49" s="8">
        <v>138500000000</v>
      </c>
      <c r="F49" s="7">
        <v>1318</v>
      </c>
      <c r="G49" s="7">
        <v>1</v>
      </c>
      <c r="H49" s="7">
        <v>2.4</v>
      </c>
      <c r="I49" s="7">
        <v>120</v>
      </c>
      <c r="J49" s="7">
        <v>0.91</v>
      </c>
      <c r="K49" s="8">
        <v>3.25E+33</v>
      </c>
      <c r="L49" s="8">
        <f t="shared" si="12"/>
        <v>3.1993868897685501E+33</v>
      </c>
      <c r="M49" s="30">
        <f>Energy*D49*E49*1.602E-19*1000000000*0.001*0.001</f>
        <v>107.166591</v>
      </c>
      <c r="N49" s="33">
        <f>rp*Table15[[#This Row],[Ib]]/(4*PI()*Table15[[#This Row],[Emittance]]*0.000001)</f>
        <v>7.0479059577535337E-3</v>
      </c>
      <c r="O49" s="29">
        <f>70*0.001*1E-28*Table15[[#This Row],[L measured]]/Table15[[#This Row],[Nc]]</f>
        <v>17.261001517450683</v>
      </c>
    </row>
    <row r="50" spans="2:15">
      <c r="B50" s="13">
        <v>40825</v>
      </c>
      <c r="C50" s="7" t="s">
        <v>130</v>
      </c>
      <c r="D50" s="7">
        <v>1380</v>
      </c>
      <c r="E50" s="8">
        <v>136700000000</v>
      </c>
      <c r="F50" s="7">
        <v>1318</v>
      </c>
      <c r="G50" s="7">
        <v>1</v>
      </c>
      <c r="H50" s="7">
        <v>2.2000000000000002</v>
      </c>
      <c r="I50" s="7">
        <v>120</v>
      </c>
      <c r="J50" s="7">
        <v>0.91</v>
      </c>
      <c r="K50" s="8">
        <v>3.3700000000000001E+33</v>
      </c>
      <c r="L50" s="8">
        <f t="shared" si="12"/>
        <v>3.4001087203892999E+33</v>
      </c>
      <c r="M50" s="30">
        <f>Energy*D50*E50*1.602E-19*1000000000*0.001*0.001</f>
        <v>105.77381220000001</v>
      </c>
      <c r="N50" s="33">
        <f>rp*Table15[[#This Row],[Ib]]/(4*PI()*Table15[[#This Row],[Emittance]]*0.000001)</f>
        <v>7.5887003170980608E-3</v>
      </c>
      <c r="O50" s="29">
        <f>70*0.001*1E-28*Table15[[#This Row],[L measured]]/Table15[[#This Row],[Nc]]</f>
        <v>17.898330804248864</v>
      </c>
    </row>
    <row r="51" spans="2:15">
      <c r="B51" s="13">
        <v>40831</v>
      </c>
      <c r="C51" s="7" t="s">
        <v>130</v>
      </c>
      <c r="D51" s="7">
        <v>1380</v>
      </c>
      <c r="E51" s="8">
        <v>142700000000</v>
      </c>
      <c r="F51" s="7">
        <v>1318</v>
      </c>
      <c r="G51" s="7">
        <v>1</v>
      </c>
      <c r="H51" s="7">
        <v>2.4</v>
      </c>
      <c r="I51" s="7">
        <v>120</v>
      </c>
      <c r="J51" s="7">
        <v>0.91</v>
      </c>
      <c r="K51" s="8">
        <v>3.2999999999999998E+33</v>
      </c>
      <c r="L51" s="8">
        <f>L_factor*F51*(betaStar_ref/G51)*(Emittance_ref/H51)*E51*E51*J51</f>
        <v>3.3963712837938729E+33</v>
      </c>
      <c r="M51" s="30">
        <f>Energy*D51*E51*1.602E-19*1000000000*0.001*0.001</f>
        <v>110.41640820000001</v>
      </c>
      <c r="N51" s="33">
        <f>rp*Table15[[#This Row],[Ib]]/(4*PI()*Table15[[#This Row],[Emittance]]*0.000001)</f>
        <v>7.2616330698298138E-3</v>
      </c>
      <c r="O51" s="29">
        <f>70*0.001*1E-28*Table15[[#This Row],[L measured]]/Table15[[#This Row],[Nc]]</f>
        <v>17.526555386949923</v>
      </c>
    </row>
    <row r="52" spans="2:15">
      <c r="B52" s="13">
        <v>40832</v>
      </c>
      <c r="C52" s="7" t="s">
        <v>130</v>
      </c>
      <c r="D52" s="7">
        <v>1380</v>
      </c>
      <c r="E52" s="8">
        <v>138500000000</v>
      </c>
      <c r="F52" s="7">
        <v>1331</v>
      </c>
      <c r="G52" s="7">
        <v>1</v>
      </c>
      <c r="H52" s="7">
        <v>2.2000000000000002</v>
      </c>
      <c r="I52" s="7">
        <v>120</v>
      </c>
      <c r="J52" s="7">
        <v>0.91</v>
      </c>
      <c r="K52" s="8">
        <v>3.4499999999999997E+33</v>
      </c>
      <c r="L52" s="8">
        <f>L_factor*F52*(betaStar_ref/G52)*(Emittance_ref/H52)*E52*E52*J52</f>
        <v>3.5246659817480525E+33</v>
      </c>
      <c r="M52" s="30">
        <f>Energy*D52*E52*1.602E-19*1000000000*0.001*0.001</f>
        <v>107.166591</v>
      </c>
      <c r="N52" s="33">
        <f>rp*Table15[[#This Row],[Ib]]/(4*PI()*Table15[[#This Row],[Emittance]]*0.000001)</f>
        <v>7.6886246811856719E-3</v>
      </c>
      <c r="O52" s="29">
        <f>70*0.001*1E-28*Table15[[#This Row],[L measured]]/Table15[[#This Row],[Nc]]</f>
        <v>18.144252441773101</v>
      </c>
    </row>
    <row r="53" spans="2:15">
      <c r="B53" s="13">
        <v>40833</v>
      </c>
      <c r="C53" s="7" t="s">
        <v>130</v>
      </c>
      <c r="D53" s="7">
        <v>1380</v>
      </c>
      <c r="E53" s="8">
        <v>144900000000</v>
      </c>
      <c r="F53" s="7">
        <v>1331</v>
      </c>
      <c r="G53" s="7">
        <v>1</v>
      </c>
      <c r="H53" s="7">
        <v>2.4</v>
      </c>
      <c r="I53" s="7">
        <v>120</v>
      </c>
      <c r="J53" s="7">
        <v>0.91</v>
      </c>
      <c r="K53" s="8">
        <v>3.5000000000000001E+33</v>
      </c>
      <c r="L53" s="8">
        <f>L_factor*F53*(betaStar_ref/G53)*(Emittance_ref/H53)*E53*E53*J53</f>
        <v>3.5364427365309999E+33</v>
      </c>
      <c r="M53" s="30">
        <f>Energy*D53*E53*1.602E-19*1000000000*0.001*0.001</f>
        <v>112.1186934</v>
      </c>
      <c r="N53" s="33">
        <f>rp*Table15[[#This Row],[Ib]]/(4*PI()*Table15[[#This Row],[Emittance]]*0.000001)</f>
        <v>7.3735853666316757E-3</v>
      </c>
      <c r="O53" s="29">
        <f>70*0.001*1E-28*Table15[[#This Row],[L measured]]/Table15[[#This Row],[Nc]]</f>
        <v>18.407212622088657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R21"/>
  <sheetViews>
    <sheetView topLeftCell="A62" workbookViewId="0">
      <selection activeCell="D9" sqref="D9"/>
    </sheetView>
  </sheetViews>
  <sheetFormatPr defaultRowHeight="15"/>
  <cols>
    <col min="2" max="2" width="16.28515625" customWidth="1"/>
    <col min="3" max="3" width="11.85546875" customWidth="1"/>
    <col min="4" max="4" width="10.28515625" customWidth="1"/>
    <col min="5" max="5" width="12" customWidth="1"/>
    <col min="6" max="6" width="10.42578125" customWidth="1"/>
    <col min="7" max="7" width="7.28515625" customWidth="1"/>
    <col min="8" max="8" width="8.7109375" customWidth="1"/>
    <col min="9" max="10" width="12.28515625" customWidth="1"/>
    <col min="11" max="11" width="13.7109375" customWidth="1"/>
    <col min="16" max="16" width="15.5703125" customWidth="1"/>
    <col min="17" max="17" width="13.140625" customWidth="1"/>
    <col min="18" max="18" width="16.7109375" customWidth="1"/>
  </cols>
  <sheetData>
    <row r="2" spans="2:18" ht="15.75">
      <c r="P2" s="26" t="s">
        <v>146</v>
      </c>
    </row>
    <row r="3" spans="2:18" ht="15" customHeight="1">
      <c r="B3" s="2" t="s">
        <v>5</v>
      </c>
      <c r="C3" s="2"/>
      <c r="D3" s="3">
        <v>3500</v>
      </c>
      <c r="E3" s="2" t="s">
        <v>6</v>
      </c>
      <c r="F3" s="2"/>
      <c r="P3" s="2" t="s">
        <v>147</v>
      </c>
      <c r="Q3" s="16">
        <v>24</v>
      </c>
      <c r="R3" s="2" t="s">
        <v>148</v>
      </c>
    </row>
    <row r="4" spans="2:18" ht="15" customHeight="1">
      <c r="B4" s="2" t="s">
        <v>44</v>
      </c>
      <c r="C4" s="2"/>
      <c r="D4" s="4">
        <f>D3/0.938</f>
        <v>3731.34328358209</v>
      </c>
      <c r="E4" s="2"/>
      <c r="F4" s="2"/>
      <c r="P4" s="2" t="s">
        <v>149</v>
      </c>
      <c r="Q4" s="16">
        <f>23*0.2</f>
        <v>4.6000000000000005</v>
      </c>
      <c r="R4" s="2" t="s">
        <v>150</v>
      </c>
    </row>
    <row r="5" spans="2:18" ht="15" customHeight="1">
      <c r="B5" s="2" t="s">
        <v>45</v>
      </c>
      <c r="C5" s="2"/>
      <c r="D5" s="4">
        <f>GammaP*Zion/Mion</f>
        <v>1471.0103329506314</v>
      </c>
      <c r="E5" s="2"/>
      <c r="F5" s="2"/>
      <c r="P5" s="2" t="s">
        <v>151</v>
      </c>
      <c r="Q5" s="16">
        <f>ROUNDDOWN((89-3)/(Q4+0.925),0)</f>
        <v>15</v>
      </c>
    </row>
    <row r="6" spans="2:18" ht="15" customHeight="1">
      <c r="B6" s="2" t="s">
        <v>42</v>
      </c>
      <c r="C6" s="2"/>
      <c r="D6" s="4">
        <v>82</v>
      </c>
      <c r="E6" s="2"/>
      <c r="F6" s="2"/>
      <c r="P6" s="2" t="s">
        <v>152</v>
      </c>
      <c r="Q6" s="18">
        <v>8000000000</v>
      </c>
      <c r="R6" s="2" t="s">
        <v>153</v>
      </c>
    </row>
    <row r="7" spans="2:18" ht="15" customHeight="1">
      <c r="B7" s="2" t="s">
        <v>46</v>
      </c>
      <c r="C7" s="2"/>
      <c r="D7" s="4">
        <v>208</v>
      </c>
      <c r="E7" s="2"/>
      <c r="F7" s="2"/>
      <c r="P7" s="2" t="s">
        <v>154</v>
      </c>
      <c r="Q7" s="16">
        <f>Q5*Q3</f>
        <v>360</v>
      </c>
    </row>
    <row r="8" spans="2:18">
      <c r="B8" s="2" t="s">
        <v>47</v>
      </c>
      <c r="C8" s="2"/>
      <c r="D8" s="3">
        <v>4</v>
      </c>
      <c r="E8" s="2" t="s">
        <v>10</v>
      </c>
      <c r="F8" s="2"/>
      <c r="P8" s="2" t="s">
        <v>155</v>
      </c>
      <c r="Q8" s="17">
        <f>Q7*Q6*Energy*1.602E-19*1000000000*0.001</f>
        <v>1614.816</v>
      </c>
      <c r="R8" s="2" t="s">
        <v>156</v>
      </c>
    </row>
    <row r="9" spans="2:18">
      <c r="B9" s="2" t="s">
        <v>48</v>
      </c>
      <c r="C9" s="2"/>
      <c r="D9" s="6">
        <f>EmitP*GammaIon/GammaP</f>
        <v>1.5769230769230766</v>
      </c>
      <c r="E9" s="2" t="s">
        <v>10</v>
      </c>
      <c r="F9" s="2"/>
      <c r="P9" s="2" t="s">
        <v>139</v>
      </c>
      <c r="Q9" s="18">
        <f>3E+25*3.5*(Q7/121)</f>
        <v>3.1239669421487601E+26</v>
      </c>
      <c r="R9" s="2" t="s">
        <v>82</v>
      </c>
    </row>
    <row r="10" spans="2:18">
      <c r="B10" s="2" t="s">
        <v>11</v>
      </c>
      <c r="C10" s="2"/>
      <c r="D10" s="5">
        <f>11240*100*GammaP/(4*PI()*EmitP)</f>
        <v>83437572.777654096</v>
      </c>
      <c r="E10" s="2"/>
      <c r="F10" s="2"/>
    </row>
    <row r="11" spans="2:18">
      <c r="B11" s="2" t="s">
        <v>50</v>
      </c>
      <c r="D11">
        <v>305</v>
      </c>
    </row>
    <row r="13" spans="2:18">
      <c r="B13" t="s">
        <v>0</v>
      </c>
      <c r="C13" t="s">
        <v>13</v>
      </c>
      <c r="D13" t="s">
        <v>1</v>
      </c>
      <c r="E13" t="s">
        <v>2</v>
      </c>
      <c r="F13" t="s">
        <v>43</v>
      </c>
      <c r="G13" t="s">
        <v>3</v>
      </c>
      <c r="H13" t="s">
        <v>4</v>
      </c>
      <c r="I13" t="s">
        <v>20</v>
      </c>
      <c r="J13" t="s">
        <v>12</v>
      </c>
      <c r="K13" t="s">
        <v>18</v>
      </c>
    </row>
    <row r="14" spans="2:18">
      <c r="B14" s="13">
        <v>40859</v>
      </c>
      <c r="C14" s="7" t="s">
        <v>15</v>
      </c>
      <c r="D14" s="7">
        <v>2</v>
      </c>
      <c r="E14" s="8">
        <v>10000000000</v>
      </c>
      <c r="F14" s="8">
        <f t="shared" ref="F14:F15" si="0">E14/Zion</f>
        <v>121951219.51219513</v>
      </c>
      <c r="G14" s="7">
        <v>1</v>
      </c>
      <c r="H14" s="7">
        <v>1</v>
      </c>
      <c r="I14" s="8">
        <v>9.9999999999999998E+23</v>
      </c>
      <c r="J14" s="8">
        <f t="shared" ref="J14:J19" si="1">L_factor*G14*(1/H14)*F14*F14</f>
        <v>1.2408919211429819E+24</v>
      </c>
      <c r="K14" s="10">
        <f>Energy*D14*E14*1.602E-19*1000000000*0.001</f>
        <v>11.214</v>
      </c>
    </row>
    <row r="15" spans="2:18">
      <c r="B15" s="13">
        <v>40860</v>
      </c>
      <c r="C15" s="7" t="s">
        <v>21</v>
      </c>
      <c r="D15" s="7">
        <v>9</v>
      </c>
      <c r="E15" s="8">
        <v>9500000000</v>
      </c>
      <c r="F15" s="8">
        <f t="shared" si="0"/>
        <v>115853658.53658536</v>
      </c>
      <c r="G15" s="7">
        <v>8</v>
      </c>
      <c r="H15" s="7">
        <v>1</v>
      </c>
      <c r="I15" s="8">
        <v>1.2E+25</v>
      </c>
      <c r="J15" s="8">
        <f t="shared" si="1"/>
        <v>8.9592396706523281E+24</v>
      </c>
      <c r="K15" s="10">
        <f t="shared" ref="K15" si="2">Energy*D15*E15*1.602E-19*1000000000*0.001</f>
        <v>47.93985</v>
      </c>
    </row>
    <row r="16" spans="2:18">
      <c r="B16" s="13">
        <v>40862</v>
      </c>
      <c r="C16" s="7" t="s">
        <v>166</v>
      </c>
      <c r="D16" s="7">
        <v>170</v>
      </c>
      <c r="E16" s="8">
        <v>8000000000</v>
      </c>
      <c r="F16" s="8">
        <f>E16/Zion</f>
        <v>97560975.609756097</v>
      </c>
      <c r="G16" s="7">
        <v>168</v>
      </c>
      <c r="H16" s="7">
        <v>1</v>
      </c>
      <c r="I16" s="8">
        <v>1.5E+26</v>
      </c>
      <c r="J16" s="8">
        <f t="shared" si="1"/>
        <v>1.3342069936129339E+26</v>
      </c>
      <c r="K16" s="10">
        <f>Energy*D16*E16*1.602E-19*1000000000*0.001</f>
        <v>762.55200000000002</v>
      </c>
    </row>
    <row r="17" spans="2:11">
      <c r="B17" s="13">
        <v>40862</v>
      </c>
      <c r="C17" s="7" t="s">
        <v>168</v>
      </c>
      <c r="D17" s="7">
        <v>358</v>
      </c>
      <c r="E17" s="8">
        <v>8900000000</v>
      </c>
      <c r="F17" s="8">
        <f>E17/Zion</f>
        <v>108536585.36585365</v>
      </c>
      <c r="G17" s="7">
        <v>356</v>
      </c>
      <c r="H17" s="7">
        <v>1</v>
      </c>
      <c r="I17" s="8">
        <v>3.4999999999999999E+26</v>
      </c>
      <c r="J17" s="8">
        <f t="shared" si="1"/>
        <v>3.4991613470249867E+26</v>
      </c>
      <c r="K17" s="10">
        <f>Energy*D17*E17*1.602E-19*1000000000*0.001</f>
        <v>1786.5023400000002</v>
      </c>
    </row>
    <row r="18" spans="2:11">
      <c r="B18" s="13">
        <v>40867</v>
      </c>
      <c r="C18" s="7" t="s">
        <v>168</v>
      </c>
      <c r="D18" s="7">
        <v>358</v>
      </c>
      <c r="E18" s="8">
        <v>9600000000</v>
      </c>
      <c r="F18" s="8">
        <f>E18/Zion</f>
        <v>117073170.73170732</v>
      </c>
      <c r="G18" s="7">
        <v>356</v>
      </c>
      <c r="H18" s="7">
        <v>1</v>
      </c>
      <c r="I18" s="8">
        <v>3.8000000000000002E+26</v>
      </c>
      <c r="J18" s="8">
        <f t="shared" si="1"/>
        <v>4.0712373405103243E+26</v>
      </c>
      <c r="K18" s="10">
        <f>Energy*D18*E18*1.602E-19*1000000000*0.001</f>
        <v>1927.01376</v>
      </c>
    </row>
    <row r="19" spans="2:11">
      <c r="B19" s="13">
        <v>40873</v>
      </c>
      <c r="C19" s="7" t="s">
        <v>168</v>
      </c>
      <c r="D19" s="7">
        <v>358</v>
      </c>
      <c r="E19" s="8">
        <v>11000000000</v>
      </c>
      <c r="F19" s="8">
        <f>E19/Zion</f>
        <v>134146341.46341464</v>
      </c>
      <c r="G19" s="7">
        <v>356</v>
      </c>
      <c r="H19" s="7">
        <v>1</v>
      </c>
      <c r="I19" s="8">
        <v>4.8000000000000001E+26</v>
      </c>
      <c r="J19" s="8">
        <f t="shared" si="1"/>
        <v>5.3452660395155093E+26</v>
      </c>
      <c r="K19" s="10">
        <f>Energy*D19*E19*1.602E-19*1000000000*0.001</f>
        <v>2208.0365999999995</v>
      </c>
    </row>
    <row r="20" spans="2:11">
      <c r="B20" s="13"/>
      <c r="C20" s="7"/>
      <c r="D20" s="7"/>
      <c r="E20" s="8"/>
      <c r="F20" s="8"/>
      <c r="G20" s="7"/>
      <c r="H20" s="7"/>
      <c r="I20" s="8"/>
      <c r="J20" s="8"/>
      <c r="K20" s="10"/>
    </row>
    <row r="21" spans="2:11">
      <c r="B21" t="s">
        <v>54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3:K24"/>
  <sheetViews>
    <sheetView topLeftCell="C74" workbookViewId="0">
      <selection activeCell="I22" sqref="I22"/>
    </sheetView>
  </sheetViews>
  <sheetFormatPr defaultRowHeight="15"/>
  <cols>
    <col min="2" max="2" width="16.28515625" customWidth="1"/>
    <col min="3" max="3" width="11.85546875" customWidth="1"/>
    <col min="4" max="4" width="10.28515625" customWidth="1"/>
    <col min="5" max="5" width="12" customWidth="1"/>
    <col min="6" max="6" width="10.42578125" customWidth="1"/>
    <col min="7" max="7" width="7.28515625" customWidth="1"/>
    <col min="8" max="8" width="8.7109375" customWidth="1"/>
    <col min="9" max="9" width="11.28515625" customWidth="1"/>
    <col min="10" max="10" width="12.28515625" customWidth="1"/>
    <col min="11" max="11" width="13.7109375" customWidth="1"/>
  </cols>
  <sheetData>
    <row r="3" spans="2:11" ht="15" customHeight="1">
      <c r="B3" s="2" t="s">
        <v>5</v>
      </c>
      <c r="C3" s="2"/>
      <c r="D3" s="3">
        <v>3500</v>
      </c>
      <c r="E3" s="2" t="s">
        <v>6</v>
      </c>
      <c r="F3" s="2"/>
    </row>
    <row r="4" spans="2:11" ht="15" customHeight="1">
      <c r="B4" s="2" t="s">
        <v>44</v>
      </c>
      <c r="C4" s="2"/>
      <c r="D4" s="4">
        <f>D3/0.938</f>
        <v>3731.34328358209</v>
      </c>
      <c r="E4" s="2"/>
      <c r="F4" s="2"/>
    </row>
    <row r="5" spans="2:11" ht="15" customHeight="1">
      <c r="B5" s="2" t="s">
        <v>45</v>
      </c>
      <c r="C5" s="2"/>
      <c r="D5" s="4">
        <f>GammaP*Zion/Mion</f>
        <v>1471.0103329506314</v>
      </c>
      <c r="E5" s="2"/>
      <c r="F5" s="2"/>
    </row>
    <row r="6" spans="2:11" ht="15" customHeight="1">
      <c r="B6" s="2" t="s">
        <v>42</v>
      </c>
      <c r="C6" s="2"/>
      <c r="D6" s="4">
        <v>82</v>
      </c>
      <c r="E6" s="2"/>
      <c r="F6" s="2"/>
    </row>
    <row r="7" spans="2:11" ht="15" customHeight="1">
      <c r="B7" s="2" t="s">
        <v>46</v>
      </c>
      <c r="C7" s="2"/>
      <c r="D7" s="4">
        <v>208</v>
      </c>
      <c r="E7" s="2"/>
      <c r="F7" s="2"/>
    </row>
    <row r="8" spans="2:11">
      <c r="B8" s="2" t="s">
        <v>47</v>
      </c>
      <c r="C8" s="2"/>
      <c r="D8" s="3">
        <v>3.5</v>
      </c>
      <c r="E8" s="2" t="s">
        <v>10</v>
      </c>
      <c r="F8" s="2"/>
    </row>
    <row r="9" spans="2:11">
      <c r="B9" s="2" t="s">
        <v>48</v>
      </c>
      <c r="C9" s="2"/>
      <c r="D9" s="6">
        <f>EmitP*GammaIon/GammaP</f>
        <v>1.3798076923076923</v>
      </c>
      <c r="E9" s="2" t="s">
        <v>10</v>
      </c>
      <c r="F9" s="2"/>
    </row>
    <row r="10" spans="2:11">
      <c r="B10" s="2" t="s">
        <v>11</v>
      </c>
      <c r="C10" s="2"/>
      <c r="D10" s="5">
        <f>11240*100*GammaP/(4*PI()*EmitP)</f>
        <v>95357226.031604677</v>
      </c>
      <c r="E10" s="2"/>
      <c r="F10" s="2"/>
    </row>
    <row r="11" spans="2:11">
      <c r="B11" s="2" t="s">
        <v>50</v>
      </c>
      <c r="D11">
        <v>305</v>
      </c>
    </row>
    <row r="13" spans="2:11">
      <c r="B13" t="s">
        <v>0</v>
      </c>
      <c r="C13" t="s">
        <v>13</v>
      </c>
      <c r="D13" t="s">
        <v>1</v>
      </c>
      <c r="E13" t="s">
        <v>2</v>
      </c>
      <c r="F13" t="s">
        <v>43</v>
      </c>
      <c r="G13" t="s">
        <v>3</v>
      </c>
      <c r="H13" t="s">
        <v>4</v>
      </c>
      <c r="I13" t="s">
        <v>20</v>
      </c>
      <c r="J13" t="s">
        <v>12</v>
      </c>
      <c r="K13" t="s">
        <v>18</v>
      </c>
    </row>
    <row r="14" spans="2:11">
      <c r="B14" s="13">
        <v>40488</v>
      </c>
      <c r="C14" s="7" t="s">
        <v>15</v>
      </c>
      <c r="D14" s="7">
        <v>2</v>
      </c>
      <c r="E14" s="8">
        <v>10000000000</v>
      </c>
      <c r="F14" s="8">
        <f t="shared" ref="F14:F19" si="0">E14/Zion</f>
        <v>121951219.51219513</v>
      </c>
      <c r="G14" s="7">
        <v>1</v>
      </c>
      <c r="H14" s="7">
        <v>3.5</v>
      </c>
      <c r="I14" s="8">
        <v>1.9999999999999998E+23</v>
      </c>
      <c r="J14" s="8">
        <f t="shared" ref="J14:J19" si="1">L_factor*G14*(2/H14)*F14*F14/(H14)</f>
        <v>2.3153668499460879E+23</v>
      </c>
      <c r="K14" s="10">
        <f t="shared" ref="K14" si="2">Energy*D14*E14*1.602E-19*1000000000*0.001</f>
        <v>11.214</v>
      </c>
    </row>
    <row r="15" spans="2:11">
      <c r="B15" s="13">
        <v>40490</v>
      </c>
      <c r="C15" s="7" t="s">
        <v>49</v>
      </c>
      <c r="D15" s="7">
        <v>5</v>
      </c>
      <c r="E15" s="8">
        <v>10000000000</v>
      </c>
      <c r="F15" s="8">
        <f t="shared" si="0"/>
        <v>121951219.51219513</v>
      </c>
      <c r="G15" s="7">
        <v>4</v>
      </c>
      <c r="H15" s="7">
        <v>3.5</v>
      </c>
      <c r="I15" s="8">
        <v>9.9999999999999998E+23</v>
      </c>
      <c r="J15" s="8">
        <f t="shared" si="1"/>
        <v>9.2614673997843518E+23</v>
      </c>
      <c r="K15" s="10">
        <f t="shared" ref="K15:K20" si="3">Energy*D15*E15*1.602E-19*1000000000*0.001</f>
        <v>28.035</v>
      </c>
    </row>
    <row r="16" spans="2:11">
      <c r="B16" s="13">
        <v>40491</v>
      </c>
      <c r="C16" s="7" t="s">
        <v>51</v>
      </c>
      <c r="D16" s="7">
        <v>17</v>
      </c>
      <c r="E16" s="8">
        <v>8800000000</v>
      </c>
      <c r="F16" s="8">
        <f t="shared" si="0"/>
        <v>107317073.17073171</v>
      </c>
      <c r="G16" s="7">
        <v>16</v>
      </c>
      <c r="H16" s="7">
        <v>3.5</v>
      </c>
      <c r="I16" s="8">
        <v>3.4000000000000001E+24</v>
      </c>
      <c r="J16" s="8">
        <f t="shared" si="1"/>
        <v>2.8688321417572006E+24</v>
      </c>
      <c r="K16" s="10">
        <f t="shared" si="3"/>
        <v>83.880719999999997</v>
      </c>
    </row>
    <row r="17" spans="2:11">
      <c r="B17" s="13">
        <v>40493</v>
      </c>
      <c r="C17" s="7" t="s">
        <v>52</v>
      </c>
      <c r="D17" s="7">
        <v>69</v>
      </c>
      <c r="E17" s="8">
        <v>5500000000</v>
      </c>
      <c r="F17" s="8">
        <f t="shared" si="0"/>
        <v>67073170.73170732</v>
      </c>
      <c r="G17" s="7">
        <v>65</v>
      </c>
      <c r="H17" s="7">
        <v>3.5</v>
      </c>
      <c r="I17" s="8">
        <v>5.9999999999999999E+24</v>
      </c>
      <c r="J17" s="8">
        <f t="shared" si="1"/>
        <v>4.5525900687064964E+24</v>
      </c>
      <c r="K17" s="10">
        <f t="shared" si="3"/>
        <v>212.78565</v>
      </c>
    </row>
    <row r="18" spans="2:11">
      <c r="B18" s="13">
        <v>40495</v>
      </c>
      <c r="C18" s="7" t="s">
        <v>52</v>
      </c>
      <c r="D18" s="7">
        <v>69</v>
      </c>
      <c r="E18" s="8">
        <v>7200000000</v>
      </c>
      <c r="F18" s="8">
        <f t="shared" si="0"/>
        <v>87804878.048780486</v>
      </c>
      <c r="G18" s="7">
        <v>65</v>
      </c>
      <c r="H18" s="7">
        <v>3.5</v>
      </c>
      <c r="I18" s="8">
        <v>7.0000000000000004E+24</v>
      </c>
      <c r="J18" s="8">
        <f t="shared" si="1"/>
        <v>7.8018601375783389E+24</v>
      </c>
      <c r="K18" s="10">
        <f t="shared" si="3"/>
        <v>278.55576000000002</v>
      </c>
    </row>
    <row r="19" spans="2:11">
      <c r="B19" s="13">
        <v>40497</v>
      </c>
      <c r="C19" s="7" t="s">
        <v>53</v>
      </c>
      <c r="D19" s="7">
        <v>121</v>
      </c>
      <c r="E19" s="8">
        <v>7400000000</v>
      </c>
      <c r="F19" s="8">
        <f t="shared" si="0"/>
        <v>90243902.439024389</v>
      </c>
      <c r="G19" s="7">
        <v>114</v>
      </c>
      <c r="H19" s="7">
        <v>3.5</v>
      </c>
      <c r="I19" s="8">
        <v>2.0000000000000002E+25</v>
      </c>
      <c r="J19" s="8">
        <f t="shared" si="1"/>
        <v>1.4454001712147448E+25</v>
      </c>
      <c r="K19" s="10">
        <f t="shared" si="3"/>
        <v>502.05078000000003</v>
      </c>
    </row>
    <row r="20" spans="2:11">
      <c r="B20" s="13">
        <v>40498</v>
      </c>
      <c r="C20" s="7" t="s">
        <v>53</v>
      </c>
      <c r="D20" s="7">
        <v>121</v>
      </c>
      <c r="E20" s="8">
        <v>7800000000</v>
      </c>
      <c r="F20" s="8">
        <f>E20/Zion</f>
        <v>95121951.219512194</v>
      </c>
      <c r="G20" s="7">
        <v>114</v>
      </c>
      <c r="H20" s="7">
        <v>3.5</v>
      </c>
      <c r="I20" s="8">
        <v>2.8000000000000002E+25</v>
      </c>
      <c r="J20" s="8">
        <f>L_factor*G20*(2/H20)*F20*F20/(H20)</f>
        <v>1.6058828783182081E+25</v>
      </c>
      <c r="K20" s="10">
        <f t="shared" si="3"/>
        <v>529.18865999999991</v>
      </c>
    </row>
    <row r="21" spans="2:11">
      <c r="B21" s="13">
        <v>40509</v>
      </c>
      <c r="C21" s="7" t="s">
        <v>53</v>
      </c>
      <c r="D21" s="7">
        <v>121</v>
      </c>
      <c r="E21" s="8">
        <v>7800000000</v>
      </c>
      <c r="F21" s="8">
        <f>E21/Zion</f>
        <v>95121951.219512194</v>
      </c>
      <c r="G21" s="7">
        <v>114</v>
      </c>
      <c r="H21" s="7">
        <v>3.5</v>
      </c>
      <c r="I21" s="8">
        <v>3.0000000000000001E+25</v>
      </c>
      <c r="J21" s="8">
        <f>L_factor*G21*(2/H21)*F21*F21/(H21)</f>
        <v>1.6058828783182081E+25</v>
      </c>
      <c r="K21" s="10">
        <f>Energy*D21*E21*1.602E-19*1000000000*0.001</f>
        <v>529.18865999999991</v>
      </c>
    </row>
    <row r="22" spans="2:11">
      <c r="B22" s="13">
        <v>40513</v>
      </c>
      <c r="C22" s="7" t="s">
        <v>53</v>
      </c>
      <c r="D22" s="7">
        <v>121</v>
      </c>
      <c r="E22" s="8">
        <v>9000000000</v>
      </c>
      <c r="F22" s="8">
        <f>E22/Zion</f>
        <v>109756097.56097561</v>
      </c>
      <c r="G22" s="7">
        <v>114</v>
      </c>
      <c r="H22" s="7">
        <v>3.5</v>
      </c>
      <c r="I22" s="8">
        <v>3.1999999999999999E+25</v>
      </c>
      <c r="J22" s="8">
        <f>L_factor*G22*(2/H22)*F22*F22/(H22)</f>
        <v>2.1380097492402182E+25</v>
      </c>
      <c r="K22" s="10">
        <f>Energy*D22*E22*1.602E-19*1000000000*0.001</f>
        <v>610.60230000000001</v>
      </c>
    </row>
    <row r="23" spans="2:11">
      <c r="B23" s="13"/>
      <c r="C23" s="7"/>
      <c r="D23" s="7"/>
      <c r="E23" s="8"/>
      <c r="F23" s="8"/>
      <c r="G23" s="7"/>
      <c r="H23" s="7"/>
      <c r="I23" s="8"/>
      <c r="J23" s="8"/>
      <c r="K23" s="10"/>
    </row>
    <row r="24" spans="2:11">
      <c r="B24" t="s">
        <v>54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C2:G29"/>
  <sheetViews>
    <sheetView workbookViewId="0">
      <selection activeCell="D21" sqref="D21"/>
    </sheetView>
  </sheetViews>
  <sheetFormatPr defaultRowHeight="15"/>
  <cols>
    <col min="3" max="3" width="48.42578125" customWidth="1"/>
    <col min="4" max="4" width="20.42578125" customWidth="1"/>
    <col min="5" max="5" width="14.7109375" customWidth="1"/>
    <col min="6" max="6" width="18" customWidth="1"/>
    <col min="7" max="7" width="14.5703125" customWidth="1"/>
  </cols>
  <sheetData>
    <row r="2" spans="3:7">
      <c r="C2" s="25" t="s">
        <v>90</v>
      </c>
      <c r="D2" t="s">
        <v>169</v>
      </c>
    </row>
    <row r="4" spans="3:7">
      <c r="C4" t="s">
        <v>78</v>
      </c>
      <c r="D4" t="s">
        <v>79</v>
      </c>
      <c r="E4" t="s">
        <v>80</v>
      </c>
      <c r="F4" t="s">
        <v>0</v>
      </c>
      <c r="G4" t="s">
        <v>96</v>
      </c>
    </row>
    <row r="5" spans="3:7">
      <c r="C5" t="s">
        <v>100</v>
      </c>
      <c r="D5">
        <v>1380</v>
      </c>
      <c r="F5" s="24">
        <v>40722</v>
      </c>
    </row>
    <row r="6" spans="3:7">
      <c r="C6" t="s">
        <v>85</v>
      </c>
      <c r="D6" s="1">
        <v>202000000000000</v>
      </c>
      <c r="E6" t="s">
        <v>86</v>
      </c>
      <c r="F6" s="24">
        <v>40833</v>
      </c>
      <c r="G6">
        <v>2220</v>
      </c>
    </row>
    <row r="7" spans="3:7">
      <c r="C7" t="s">
        <v>128</v>
      </c>
      <c r="D7">
        <v>14.4</v>
      </c>
      <c r="E7" t="s">
        <v>84</v>
      </c>
      <c r="F7" s="24">
        <v>40831</v>
      </c>
      <c r="G7">
        <v>2216</v>
      </c>
    </row>
    <row r="8" spans="3:7">
      <c r="C8" t="s">
        <v>101</v>
      </c>
      <c r="D8">
        <v>1380</v>
      </c>
      <c r="F8" s="24">
        <v>40722</v>
      </c>
      <c r="G8">
        <v>1901</v>
      </c>
    </row>
    <row r="9" spans="3:7">
      <c r="C9" t="s">
        <v>89</v>
      </c>
      <c r="D9" s="1">
        <v>200000000000000</v>
      </c>
      <c r="E9" t="s">
        <v>86</v>
      </c>
      <c r="F9" s="24">
        <v>40833</v>
      </c>
      <c r="G9">
        <v>2200</v>
      </c>
    </row>
    <row r="10" spans="3:7">
      <c r="C10" t="s">
        <v>127</v>
      </c>
      <c r="D10">
        <v>112</v>
      </c>
      <c r="E10" t="s">
        <v>84</v>
      </c>
      <c r="F10" s="24">
        <v>40833</v>
      </c>
      <c r="G10">
        <v>2200</v>
      </c>
    </row>
    <row r="11" spans="3:7">
      <c r="C11" t="s">
        <v>164</v>
      </c>
      <c r="D11" s="1">
        <v>3.5000000000000001E+33</v>
      </c>
      <c r="E11" t="s">
        <v>82</v>
      </c>
      <c r="F11" s="24">
        <v>40833</v>
      </c>
      <c r="G11">
        <v>2220</v>
      </c>
    </row>
    <row r="12" spans="3:7">
      <c r="C12" t="s">
        <v>163</v>
      </c>
      <c r="D12" s="1">
        <v>3.6000000000000003E+33</v>
      </c>
      <c r="E12" t="s">
        <v>82</v>
      </c>
      <c r="F12" s="24">
        <v>40833</v>
      </c>
      <c r="G12">
        <v>2220</v>
      </c>
    </row>
    <row r="13" spans="3:7">
      <c r="C13" t="s">
        <v>116</v>
      </c>
      <c r="D13" s="9">
        <v>123.5</v>
      </c>
      <c r="E13" t="s">
        <v>92</v>
      </c>
      <c r="F13" s="24">
        <v>40832</v>
      </c>
      <c r="G13">
        <v>2219</v>
      </c>
    </row>
    <row r="14" spans="3:7">
      <c r="C14" s="7" t="s">
        <v>159</v>
      </c>
      <c r="D14" s="9">
        <v>545</v>
      </c>
      <c r="E14" t="s">
        <v>92</v>
      </c>
      <c r="F14" s="38" t="s">
        <v>165</v>
      </c>
    </row>
    <row r="15" spans="3:7">
      <c r="C15" t="s">
        <v>106</v>
      </c>
      <c r="D15" s="9">
        <v>21.5</v>
      </c>
      <c r="F15" s="24">
        <v>40801</v>
      </c>
      <c r="G15">
        <v>2110</v>
      </c>
    </row>
    <row r="16" spans="3:7">
      <c r="C16" t="s">
        <v>157</v>
      </c>
      <c r="D16" s="9">
        <v>16</v>
      </c>
      <c r="F16" s="24">
        <v>40806</v>
      </c>
      <c r="G16">
        <v>2127</v>
      </c>
    </row>
    <row r="17" spans="3:7">
      <c r="C17" t="s">
        <v>95</v>
      </c>
      <c r="D17" s="9">
        <v>26</v>
      </c>
      <c r="E17" t="s">
        <v>93</v>
      </c>
      <c r="F17" s="24">
        <v>40760</v>
      </c>
      <c r="G17">
        <v>2006</v>
      </c>
    </row>
    <row r="18" spans="3:7">
      <c r="C18" t="s">
        <v>88</v>
      </c>
      <c r="D18" s="9">
        <v>1</v>
      </c>
      <c r="E18" t="s">
        <v>8</v>
      </c>
      <c r="F18" s="24" t="s">
        <v>94</v>
      </c>
    </row>
    <row r="20" spans="3:7">
      <c r="C20" s="25" t="s">
        <v>97</v>
      </c>
      <c r="D20" t="s">
        <v>170</v>
      </c>
    </row>
    <row r="22" spans="3:7">
      <c r="C22" t="s">
        <v>78</v>
      </c>
      <c r="D22" t="s">
        <v>79</v>
      </c>
      <c r="E22" t="s">
        <v>80</v>
      </c>
      <c r="F22" t="s">
        <v>0</v>
      </c>
      <c r="G22" t="s">
        <v>96</v>
      </c>
    </row>
    <row r="23" spans="3:7">
      <c r="C23" t="s">
        <v>87</v>
      </c>
      <c r="D23">
        <v>358</v>
      </c>
      <c r="F23" s="24">
        <v>40862</v>
      </c>
      <c r="G23">
        <v>2297</v>
      </c>
    </row>
    <row r="24" spans="3:7">
      <c r="C24" t="s">
        <v>89</v>
      </c>
      <c r="D24" s="1">
        <v>50000000000</v>
      </c>
      <c r="E24" t="s">
        <v>99</v>
      </c>
      <c r="F24" s="24">
        <v>40867</v>
      </c>
      <c r="G24">
        <v>2309</v>
      </c>
    </row>
    <row r="25" spans="3:7">
      <c r="C25" t="s">
        <v>83</v>
      </c>
      <c r="D25">
        <v>1.9</v>
      </c>
      <c r="E25" t="s">
        <v>84</v>
      </c>
      <c r="F25" s="24">
        <v>40867</v>
      </c>
      <c r="G25">
        <v>2309</v>
      </c>
    </row>
    <row r="26" spans="3:7">
      <c r="C26" t="s">
        <v>81</v>
      </c>
      <c r="D26" s="1">
        <v>5.0999999999999997E+26</v>
      </c>
      <c r="E26" t="s">
        <v>82</v>
      </c>
      <c r="F26" s="24">
        <v>40873</v>
      </c>
      <c r="G26">
        <v>2328</v>
      </c>
    </row>
    <row r="27" spans="3:7">
      <c r="C27" t="s">
        <v>91</v>
      </c>
      <c r="D27" s="9">
        <v>6.1</v>
      </c>
      <c r="E27" t="s">
        <v>167</v>
      </c>
      <c r="F27" s="24">
        <v>40874</v>
      </c>
      <c r="G27">
        <v>2330</v>
      </c>
    </row>
    <row r="28" spans="3:7">
      <c r="C28" t="s">
        <v>95</v>
      </c>
      <c r="D28" s="9">
        <v>9</v>
      </c>
      <c r="E28" t="s">
        <v>93</v>
      </c>
      <c r="F28" s="24">
        <v>40506</v>
      </c>
      <c r="G28">
        <v>2319</v>
      </c>
    </row>
    <row r="29" spans="3:7">
      <c r="C29" t="s">
        <v>88</v>
      </c>
      <c r="D29" s="9">
        <v>1</v>
      </c>
      <c r="E29" t="s">
        <v>8</v>
      </c>
      <c r="F29" s="24" t="s">
        <v>94</v>
      </c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C2:N47"/>
  <sheetViews>
    <sheetView workbookViewId="0">
      <selection activeCell="D5" sqref="D5"/>
    </sheetView>
  </sheetViews>
  <sheetFormatPr defaultRowHeight="15"/>
  <cols>
    <col min="3" max="3" width="21.42578125" customWidth="1"/>
    <col min="4" max="4" width="17.7109375" customWidth="1"/>
    <col min="5" max="5" width="21.42578125" customWidth="1"/>
    <col min="6" max="6" width="20" customWidth="1"/>
    <col min="8" max="8" width="20" customWidth="1"/>
    <col min="9" max="9" width="14.140625" customWidth="1"/>
    <col min="10" max="10" width="15" customWidth="1"/>
    <col min="12" max="12" width="13.85546875" customWidth="1"/>
  </cols>
  <sheetData>
    <row r="2" spans="3:14">
      <c r="C2" s="2" t="s">
        <v>137</v>
      </c>
      <c r="D2" s="16">
        <v>76</v>
      </c>
      <c r="E2" s="2" t="s">
        <v>138</v>
      </c>
    </row>
    <row r="3" spans="3:14" ht="15.75">
      <c r="C3" s="2" t="s">
        <v>139</v>
      </c>
      <c r="D3" s="28">
        <v>5.3000000000000002E+33</v>
      </c>
      <c r="E3" s="26" t="s">
        <v>82</v>
      </c>
    </row>
    <row r="4" spans="3:14" ht="15.75">
      <c r="C4" s="2" t="s">
        <v>140</v>
      </c>
      <c r="D4" s="28">
        <v>2</v>
      </c>
      <c r="E4" s="26"/>
    </row>
    <row r="5" spans="3:14" ht="15.75">
      <c r="C5" s="2" t="s">
        <v>141</v>
      </c>
      <c r="D5" s="28">
        <f>D4*D3*D2*0.001*1E-24</f>
        <v>805599999.99999988</v>
      </c>
      <c r="E5" s="26" t="s">
        <v>142</v>
      </c>
    </row>
    <row r="6" spans="3:14" ht="15.75">
      <c r="C6" s="2" t="s">
        <v>143</v>
      </c>
      <c r="D6" s="28">
        <v>170000000000000</v>
      </c>
      <c r="E6" s="26" t="s">
        <v>144</v>
      </c>
    </row>
    <row r="7" spans="3:14" ht="15.75">
      <c r="C7" s="2" t="s">
        <v>145</v>
      </c>
      <c r="D7" s="37">
        <f>D6/(D5*3600)</f>
        <v>58.617455588657187</v>
      </c>
      <c r="E7" s="26" t="s">
        <v>93</v>
      </c>
    </row>
    <row r="8" spans="3:14" ht="15.75">
      <c r="C8" s="2"/>
      <c r="D8" s="17"/>
      <c r="E8" s="26"/>
    </row>
    <row r="10" spans="3:14" ht="15.75">
      <c r="C10" s="26" t="s">
        <v>102</v>
      </c>
      <c r="D10" s="27">
        <v>4</v>
      </c>
      <c r="E10" s="26" t="s">
        <v>93</v>
      </c>
      <c r="H10" t="s">
        <v>110</v>
      </c>
      <c r="I10" s="1">
        <v>3.2000000000000002E+33</v>
      </c>
      <c r="J10" t="s">
        <v>82</v>
      </c>
      <c r="L10" t="s">
        <v>122</v>
      </c>
      <c r="M10" s="1">
        <v>112000000000000</v>
      </c>
      <c r="N10" t="s">
        <v>86</v>
      </c>
    </row>
    <row r="11" spans="3:14" ht="15.75">
      <c r="C11" s="26"/>
      <c r="D11" s="27"/>
      <c r="E11" s="26"/>
      <c r="H11" t="s">
        <v>111</v>
      </c>
      <c r="I11" s="1">
        <v>1.9E+33</v>
      </c>
      <c r="J11" t="s">
        <v>82</v>
      </c>
      <c r="L11" t="s">
        <v>123</v>
      </c>
      <c r="M11" s="1">
        <v>105000000000000</v>
      </c>
      <c r="N11" t="s">
        <v>86</v>
      </c>
    </row>
    <row r="12" spans="3:14" ht="15.75">
      <c r="C12" s="26" t="s">
        <v>103</v>
      </c>
      <c r="D12" s="27">
        <v>16</v>
      </c>
      <c r="E12" s="26" t="s">
        <v>93</v>
      </c>
      <c r="H12" t="s">
        <v>112</v>
      </c>
      <c r="I12">
        <v>9</v>
      </c>
      <c r="J12" t="s">
        <v>113</v>
      </c>
      <c r="L12" t="s">
        <v>112</v>
      </c>
      <c r="M12">
        <v>7.75</v>
      </c>
      <c r="N12" t="s">
        <v>113</v>
      </c>
    </row>
    <row r="13" spans="3:14" ht="15.75">
      <c r="C13" s="26" t="s">
        <v>107</v>
      </c>
      <c r="D13" s="28">
        <v>5.3000000000000002E+33</v>
      </c>
      <c r="E13" s="26" t="s">
        <v>82</v>
      </c>
      <c r="H13" t="s">
        <v>103</v>
      </c>
      <c r="I13" s="9">
        <f>-I12/(LN(I11/I10))</f>
        <v>17.26463286464967</v>
      </c>
      <c r="J13" t="s">
        <v>113</v>
      </c>
      <c r="L13" t="s">
        <v>124</v>
      </c>
      <c r="M13" s="9">
        <f>-M12/(LN(M11/M10))</f>
        <v>120.0833217649967</v>
      </c>
      <c r="N13" t="s">
        <v>113</v>
      </c>
    </row>
    <row r="14" spans="3:14" ht="15.75">
      <c r="C14" s="26" t="s">
        <v>108</v>
      </c>
      <c r="D14" s="28">
        <f>1/(1E-24*0.000000000001)</f>
        <v>1E+36</v>
      </c>
      <c r="E14" s="26" t="s">
        <v>114</v>
      </c>
    </row>
    <row r="17" spans="3:6" ht="15.75">
      <c r="C17" s="26" t="s">
        <v>104</v>
      </c>
      <c r="D17" s="26" t="s">
        <v>105</v>
      </c>
      <c r="E17" s="26" t="s">
        <v>109</v>
      </c>
      <c r="F17" s="26" t="s">
        <v>126</v>
      </c>
    </row>
    <row r="18" spans="3:6">
      <c r="C18">
        <v>0.5</v>
      </c>
      <c r="D18">
        <f t="shared" ref="D18:D47" si="0">Lumi_lifetime*(1-EXP(-(C18/Lumi_lifetime)))/(Turn_around_time+C18)</f>
        <v>0.10939294408410977</v>
      </c>
      <c r="E18" s="19">
        <f t="shared" ref="E18:E47" si="1">Peak_luminosity*Lumi_lifetime*3600*(1-EXP(-(C18/Lumi_lifetime)))/(Turn_around_time+C18)/_1pb_1</f>
        <v>2.0872173731248145</v>
      </c>
      <c r="F18" s="29">
        <f>24*E18</f>
        <v>50.093216954995547</v>
      </c>
    </row>
    <row r="19" spans="3:6">
      <c r="C19">
        <v>1</v>
      </c>
      <c r="D19">
        <f t="shared" si="0"/>
        <v>0.19387819899687742</v>
      </c>
      <c r="E19" s="19">
        <f t="shared" si="1"/>
        <v>3.6991960368604215</v>
      </c>
      <c r="F19" s="29">
        <f t="shared" ref="F19:F47" si="2">24*E19</f>
        <v>88.78070488465012</v>
      </c>
    </row>
    <row r="20" spans="3:6">
      <c r="C20">
        <v>1.5</v>
      </c>
      <c r="D20">
        <f t="shared" si="0"/>
        <v>0.26033349416717333</v>
      </c>
      <c r="E20" s="19">
        <f t="shared" si="1"/>
        <v>4.9671630687096675</v>
      </c>
      <c r="F20" s="29">
        <f t="shared" si="2"/>
        <v>119.21191364903203</v>
      </c>
    </row>
    <row r="21" spans="3:6">
      <c r="C21">
        <v>2</v>
      </c>
      <c r="D21">
        <f t="shared" si="0"/>
        <v>0.31334159310774545</v>
      </c>
      <c r="E21" s="19">
        <f t="shared" si="1"/>
        <v>5.9785575964957838</v>
      </c>
      <c r="F21" s="29">
        <f t="shared" si="2"/>
        <v>143.48538231589882</v>
      </c>
    </row>
    <row r="22" spans="3:6">
      <c r="C22">
        <v>2.5</v>
      </c>
      <c r="D22">
        <f t="shared" si="0"/>
        <v>0.35607304047403687</v>
      </c>
      <c r="E22" s="19">
        <f t="shared" si="1"/>
        <v>6.7938736122446244</v>
      </c>
      <c r="F22" s="29">
        <f t="shared" si="2"/>
        <v>163.05296669387099</v>
      </c>
    </row>
    <row r="23" spans="3:6">
      <c r="C23">
        <v>3</v>
      </c>
      <c r="D23">
        <f t="shared" si="0"/>
        <v>0.39079058701622771</v>
      </c>
      <c r="E23" s="19">
        <f t="shared" si="1"/>
        <v>7.4562844002696265</v>
      </c>
      <c r="F23" s="29">
        <f t="shared" si="2"/>
        <v>178.95082560647103</v>
      </c>
    </row>
    <row r="24" spans="3:6">
      <c r="C24">
        <v>3.5</v>
      </c>
      <c r="D24">
        <f t="shared" si="0"/>
        <v>0.41915184279667034</v>
      </c>
      <c r="E24" s="19">
        <f t="shared" si="1"/>
        <v>7.9974171605604711</v>
      </c>
      <c r="F24" s="29">
        <f t="shared" si="2"/>
        <v>191.93801185345131</v>
      </c>
    </row>
    <row r="25" spans="3:6">
      <c r="C25">
        <v>4</v>
      </c>
      <c r="D25">
        <f t="shared" si="0"/>
        <v>0.44239843385719024</v>
      </c>
      <c r="E25" s="19">
        <f t="shared" si="1"/>
        <v>8.4409621179951912</v>
      </c>
      <c r="F25" s="29">
        <f t="shared" si="2"/>
        <v>202.58309083188459</v>
      </c>
    </row>
    <row r="26" spans="3:6">
      <c r="C26">
        <v>4.5</v>
      </c>
      <c r="D26">
        <f t="shared" si="0"/>
        <v>0.46147839625598619</v>
      </c>
      <c r="E26" s="19">
        <f t="shared" si="1"/>
        <v>8.8050078005642174</v>
      </c>
      <c r="F26" s="29">
        <f t="shared" si="2"/>
        <v>211.3201872135412</v>
      </c>
    </row>
    <row r="27" spans="3:6">
      <c r="C27">
        <v>5</v>
      </c>
      <c r="D27">
        <f t="shared" si="0"/>
        <v>0.47712777076152574</v>
      </c>
      <c r="E27" s="19">
        <f t="shared" si="1"/>
        <v>9.1035978661299115</v>
      </c>
      <c r="F27" s="29">
        <f t="shared" si="2"/>
        <v>218.48634878711789</v>
      </c>
    </row>
    <row r="28" spans="3:6">
      <c r="C28">
        <v>5.5</v>
      </c>
      <c r="D28">
        <f t="shared" si="0"/>
        <v>0.48992642957911842</v>
      </c>
      <c r="E28" s="19">
        <f t="shared" si="1"/>
        <v>9.3477962763695803</v>
      </c>
      <c r="F28" s="29">
        <f t="shared" si="2"/>
        <v>224.34711063286994</v>
      </c>
    </row>
    <row r="29" spans="3:6">
      <c r="C29">
        <v>6</v>
      </c>
      <c r="D29">
        <f t="shared" si="0"/>
        <v>0.50033715393444445</v>
      </c>
      <c r="E29" s="19">
        <f t="shared" si="1"/>
        <v>9.5464328970692005</v>
      </c>
      <c r="F29" s="29">
        <f t="shared" si="2"/>
        <v>229.1143895296608</v>
      </c>
    </row>
    <row r="30" spans="3:6">
      <c r="C30">
        <v>6.5</v>
      </c>
      <c r="D30">
        <f t="shared" si="0"/>
        <v>0.5087335455946852</v>
      </c>
      <c r="E30" s="19">
        <f t="shared" si="1"/>
        <v>9.706636049946594</v>
      </c>
      <c r="F30" s="29">
        <f t="shared" si="2"/>
        <v>232.95926519871824</v>
      </c>
    </row>
    <row r="31" spans="3:6">
      <c r="C31">
        <v>7</v>
      </c>
      <c r="D31">
        <f t="shared" si="0"/>
        <v>0.51542032519579339</v>
      </c>
      <c r="E31" s="19">
        <f t="shared" si="1"/>
        <v>9.8342198047357385</v>
      </c>
      <c r="F31" s="29">
        <f t="shared" si="2"/>
        <v>236.02127531365772</v>
      </c>
    </row>
    <row r="32" spans="3:6">
      <c r="C32">
        <v>7.5</v>
      </c>
      <c r="D32">
        <f t="shared" si="0"/>
        <v>0.5206483344631776</v>
      </c>
      <c r="E32" s="19">
        <f t="shared" si="1"/>
        <v>9.9339702215574288</v>
      </c>
      <c r="F32" s="29">
        <f t="shared" si="2"/>
        <v>238.41528531737828</v>
      </c>
    </row>
    <row r="33" spans="3:6">
      <c r="C33">
        <v>8</v>
      </c>
      <c r="D33">
        <f t="shared" si="0"/>
        <v>0.5246257870498221</v>
      </c>
      <c r="E33" s="19">
        <f t="shared" si="1"/>
        <v>10.009860016910606</v>
      </c>
      <c r="F33" s="29">
        <f t="shared" si="2"/>
        <v>240.23664040585453</v>
      </c>
    </row>
    <row r="34" spans="3:6">
      <c r="C34">
        <v>8.5</v>
      </c>
      <c r="D34">
        <f t="shared" si="0"/>
        <v>0.52752681840339644</v>
      </c>
      <c r="E34" s="19">
        <f t="shared" si="1"/>
        <v>10.065211695136805</v>
      </c>
      <c r="F34" s="29">
        <f t="shared" si="2"/>
        <v>241.56508068328333</v>
      </c>
    </row>
    <row r="35" spans="3:6">
      <c r="C35">
        <v>9</v>
      </c>
      <c r="D35">
        <f t="shared" si="0"/>
        <v>0.52949806186963322</v>
      </c>
      <c r="E35" s="19">
        <f t="shared" si="1"/>
        <v>10.102823020472604</v>
      </c>
      <c r="F35" s="29">
        <f t="shared" si="2"/>
        <v>242.46775249134248</v>
      </c>
    </row>
    <row r="36" spans="3:6">
      <c r="C36">
        <v>10</v>
      </c>
      <c r="D36">
        <f t="shared" si="0"/>
        <v>0.53112979597829679</v>
      </c>
      <c r="E36" s="19">
        <f t="shared" si="1"/>
        <v>10.133956507265905</v>
      </c>
      <c r="F36" s="29">
        <f t="shared" si="2"/>
        <v>243.21495617438171</v>
      </c>
    </row>
    <row r="37" spans="3:6">
      <c r="C37">
        <v>11</v>
      </c>
      <c r="D37">
        <f t="shared" si="0"/>
        <v>0.53031298349766298</v>
      </c>
      <c r="E37" s="19">
        <f t="shared" si="1"/>
        <v>10.118371725135411</v>
      </c>
      <c r="F37" s="29">
        <f t="shared" si="2"/>
        <v>242.84092140324987</v>
      </c>
    </row>
    <row r="38" spans="3:6">
      <c r="C38">
        <v>12</v>
      </c>
      <c r="D38">
        <f t="shared" si="0"/>
        <v>0.52763344725898531</v>
      </c>
      <c r="E38" s="19">
        <f t="shared" si="1"/>
        <v>10.06724617370144</v>
      </c>
      <c r="F38" s="29">
        <f t="shared" si="2"/>
        <v>241.61390816883454</v>
      </c>
    </row>
    <row r="39" spans="3:6">
      <c r="C39">
        <v>13</v>
      </c>
      <c r="D39">
        <f t="shared" si="0"/>
        <v>0.52353194345310139</v>
      </c>
      <c r="E39" s="19">
        <f t="shared" si="1"/>
        <v>9.9889894810851754</v>
      </c>
      <c r="F39" s="29">
        <f t="shared" si="2"/>
        <v>239.73574754604419</v>
      </c>
    </row>
    <row r="40" spans="3:6">
      <c r="C40">
        <v>14</v>
      </c>
      <c r="D40">
        <f t="shared" si="0"/>
        <v>0.51834487139688135</v>
      </c>
      <c r="E40" s="19">
        <f t="shared" si="1"/>
        <v>9.8900201462524979</v>
      </c>
      <c r="F40" s="29">
        <f t="shared" si="2"/>
        <v>237.36048351005996</v>
      </c>
    </row>
    <row r="41" spans="3:6">
      <c r="C41">
        <v>15</v>
      </c>
      <c r="D41">
        <f t="shared" si="0"/>
        <v>0.5123321038511166</v>
      </c>
      <c r="E41" s="19">
        <f t="shared" si="1"/>
        <v>9.7752965414793067</v>
      </c>
      <c r="F41" s="29">
        <f t="shared" si="2"/>
        <v>234.60711699550336</v>
      </c>
    </row>
    <row r="42" spans="3:6">
      <c r="C42">
        <v>16</v>
      </c>
      <c r="D42">
        <f t="shared" si="0"/>
        <v>0.50569644706284611</v>
      </c>
      <c r="E42" s="19">
        <f t="shared" si="1"/>
        <v>9.6486882099591043</v>
      </c>
      <c r="F42" s="29">
        <f t="shared" si="2"/>
        <v>231.5685170390185</v>
      </c>
    </row>
    <row r="43" spans="3:6">
      <c r="C43">
        <v>17</v>
      </c>
      <c r="D43">
        <f t="shared" si="0"/>
        <v>0.49859752184611461</v>
      </c>
      <c r="E43" s="19">
        <f t="shared" si="1"/>
        <v>9.5132407168238675</v>
      </c>
      <c r="F43" s="29">
        <f t="shared" si="2"/>
        <v>228.31777720377283</v>
      </c>
    </row>
    <row r="44" spans="3:6">
      <c r="C44">
        <v>18</v>
      </c>
      <c r="D44">
        <f t="shared" si="0"/>
        <v>0.49116184192120022</v>
      </c>
      <c r="E44" s="19">
        <f t="shared" si="1"/>
        <v>9.3713679438564998</v>
      </c>
      <c r="F44" s="29">
        <f t="shared" si="2"/>
        <v>224.91283065255601</v>
      </c>
    </row>
    <row r="45" spans="3:6">
      <c r="C45">
        <v>19</v>
      </c>
      <c r="D45">
        <f t="shared" si="0"/>
        <v>0.48349024785317612</v>
      </c>
      <c r="E45" s="19">
        <f t="shared" si="1"/>
        <v>9.2249939290386003</v>
      </c>
      <c r="F45" s="29">
        <f t="shared" si="2"/>
        <v>221.39985429692641</v>
      </c>
    </row>
    <row r="46" spans="3:6">
      <c r="C46">
        <v>20</v>
      </c>
      <c r="D46">
        <f t="shared" si="0"/>
        <v>0.47566346875987325</v>
      </c>
      <c r="E46" s="19">
        <f t="shared" si="1"/>
        <v>9.0756589839383821</v>
      </c>
      <c r="F46" s="29">
        <f t="shared" si="2"/>
        <v>217.81581561452117</v>
      </c>
    </row>
    <row r="47" spans="3:6">
      <c r="C47">
        <v>25</v>
      </c>
      <c r="D47">
        <f t="shared" si="0"/>
        <v>0.43607647605456673</v>
      </c>
      <c r="E47" s="19">
        <f t="shared" si="1"/>
        <v>8.3203391631211332</v>
      </c>
      <c r="F47" s="29">
        <f t="shared" si="2"/>
        <v>199.6881399149072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4:K41"/>
  <sheetViews>
    <sheetView workbookViewId="0">
      <selection activeCell="B8" sqref="B8"/>
    </sheetView>
  </sheetViews>
  <sheetFormatPr defaultRowHeight="15"/>
  <cols>
    <col min="2" max="2" width="27.28515625" customWidth="1"/>
    <col min="3" max="3" width="24.7109375" customWidth="1"/>
    <col min="4" max="4" width="21.42578125" customWidth="1"/>
    <col min="6" max="6" width="20" customWidth="1"/>
    <col min="7" max="7" width="14.140625" customWidth="1"/>
    <col min="8" max="8" width="15" customWidth="1"/>
    <col min="10" max="10" width="13.85546875" customWidth="1"/>
  </cols>
  <sheetData>
    <row r="4" spans="2:11" ht="15.75">
      <c r="B4" s="26"/>
      <c r="C4" s="27"/>
      <c r="D4" s="26"/>
      <c r="G4" s="1"/>
      <c r="K4" s="1"/>
    </row>
    <row r="5" spans="2:11" ht="15.75">
      <c r="B5" s="26"/>
      <c r="C5" s="27"/>
      <c r="D5" s="26"/>
      <c r="G5" s="1"/>
      <c r="K5" s="1"/>
    </row>
    <row r="6" spans="2:11" ht="15.75">
      <c r="B6" s="26"/>
      <c r="C6" s="27"/>
      <c r="D6" s="26"/>
    </row>
    <row r="7" spans="2:11" ht="15.75">
      <c r="B7" s="26"/>
      <c r="C7" s="28"/>
      <c r="D7" s="26"/>
      <c r="G7" s="9"/>
      <c r="K7" s="9"/>
    </row>
    <row r="8" spans="2:11" ht="15.75">
      <c r="B8" s="26" t="s">
        <v>108</v>
      </c>
      <c r="C8" s="28">
        <f>1/(1E-24*0.000000000001)</f>
        <v>1E+36</v>
      </c>
      <c r="D8" s="26" t="s">
        <v>114</v>
      </c>
    </row>
    <row r="11" spans="2:11" ht="15.75">
      <c r="B11" s="35" t="s">
        <v>136</v>
      </c>
      <c r="C11" s="35" t="s">
        <v>109</v>
      </c>
      <c r="D11" s="26"/>
    </row>
    <row r="12" spans="2:11">
      <c r="B12" s="36">
        <v>0</v>
      </c>
      <c r="C12" s="22">
        <f t="shared" ref="C12:C25" si="0">B12*1E+33*3600/_1pb_1</f>
        <v>0</v>
      </c>
      <c r="D12" s="19"/>
    </row>
    <row r="13" spans="2:11">
      <c r="B13" s="36">
        <v>0.1</v>
      </c>
      <c r="C13" s="22">
        <f t="shared" si="0"/>
        <v>0.36</v>
      </c>
      <c r="D13" s="19"/>
    </row>
    <row r="14" spans="2:11">
      <c r="B14" s="36">
        <v>0.2</v>
      </c>
      <c r="C14" s="22">
        <f t="shared" si="0"/>
        <v>0.72</v>
      </c>
      <c r="D14" s="19"/>
    </row>
    <row r="15" spans="2:11">
      <c r="B15" s="36">
        <v>0.4</v>
      </c>
      <c r="C15" s="22">
        <f t="shared" si="0"/>
        <v>1.44</v>
      </c>
      <c r="D15" s="19"/>
    </row>
    <row r="16" spans="2:11">
      <c r="B16" s="36">
        <v>0.5</v>
      </c>
      <c r="C16" s="22">
        <f t="shared" si="0"/>
        <v>1.7999999999999998</v>
      </c>
      <c r="D16" s="19"/>
    </row>
    <row r="17" spans="2:4">
      <c r="B17" s="36">
        <v>1</v>
      </c>
      <c r="C17" s="22">
        <f t="shared" si="0"/>
        <v>3.5999999999999996</v>
      </c>
      <c r="D17" s="19"/>
    </row>
    <row r="18" spans="2:4">
      <c r="B18" s="36">
        <v>1.5</v>
      </c>
      <c r="C18" s="22">
        <f t="shared" si="0"/>
        <v>5.4</v>
      </c>
      <c r="D18" s="19"/>
    </row>
    <row r="19" spans="2:4">
      <c r="B19" s="36">
        <v>2</v>
      </c>
      <c r="C19" s="22">
        <f t="shared" si="0"/>
        <v>7.1999999999999993</v>
      </c>
      <c r="D19" s="19"/>
    </row>
    <row r="20" spans="2:4">
      <c r="B20" s="36">
        <v>2.5</v>
      </c>
      <c r="C20" s="22">
        <f t="shared" si="0"/>
        <v>9</v>
      </c>
      <c r="D20" s="19"/>
    </row>
    <row r="21" spans="2:4">
      <c r="B21" s="36">
        <v>3</v>
      </c>
      <c r="C21" s="22">
        <f t="shared" si="0"/>
        <v>10.8</v>
      </c>
      <c r="D21" s="19"/>
    </row>
    <row r="22" spans="2:4">
      <c r="B22" s="36">
        <v>3.5</v>
      </c>
      <c r="C22" s="22">
        <f t="shared" si="0"/>
        <v>12.599999999999996</v>
      </c>
      <c r="D22" s="19"/>
    </row>
    <row r="23" spans="2:4">
      <c r="B23" s="36">
        <v>4</v>
      </c>
      <c r="C23" s="22">
        <f t="shared" si="0"/>
        <v>14.399999999999999</v>
      </c>
      <c r="D23" s="19"/>
    </row>
    <row r="24" spans="2:4">
      <c r="B24" s="36">
        <v>4.5</v>
      </c>
      <c r="C24" s="22">
        <f t="shared" si="0"/>
        <v>16.2</v>
      </c>
      <c r="D24" s="19"/>
    </row>
    <row r="25" spans="2:4">
      <c r="B25" s="36">
        <v>5</v>
      </c>
      <c r="C25" s="22">
        <f t="shared" si="0"/>
        <v>18</v>
      </c>
      <c r="D25" s="19"/>
    </row>
    <row r="26" spans="2:4">
      <c r="D26" s="19"/>
    </row>
    <row r="27" spans="2:4">
      <c r="D27" s="19"/>
    </row>
    <row r="28" spans="2:4">
      <c r="D28" s="19"/>
    </row>
    <row r="29" spans="2:4">
      <c r="D29" s="19"/>
    </row>
    <row r="30" spans="2:4">
      <c r="D30" s="19"/>
    </row>
    <row r="31" spans="2:4">
      <c r="D31" s="19"/>
    </row>
    <row r="32" spans="2:4">
      <c r="D32" s="19"/>
    </row>
    <row r="33" spans="4:4">
      <c r="D33" s="19"/>
    </row>
    <row r="34" spans="4:4">
      <c r="D34" s="19"/>
    </row>
    <row r="35" spans="4:4">
      <c r="D35" s="19"/>
    </row>
    <row r="36" spans="4:4">
      <c r="D36" s="19"/>
    </row>
    <row r="37" spans="4:4">
      <c r="D37" s="19"/>
    </row>
    <row r="38" spans="4:4">
      <c r="D38" s="19"/>
    </row>
    <row r="39" spans="4:4">
      <c r="D39" s="19"/>
    </row>
    <row r="40" spans="4:4">
      <c r="D40" s="19"/>
    </row>
    <row r="41" spans="4:4">
      <c r="D41" s="1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C2:N41"/>
  <sheetViews>
    <sheetView workbookViewId="0">
      <selection activeCell="D8" sqref="D8"/>
    </sheetView>
  </sheetViews>
  <sheetFormatPr defaultRowHeight="15"/>
  <cols>
    <col min="3" max="3" width="21.42578125" customWidth="1"/>
    <col min="4" max="4" width="17.7109375" customWidth="1"/>
    <col min="5" max="5" width="21.42578125" customWidth="1"/>
    <col min="6" max="6" width="20" customWidth="1"/>
    <col min="8" max="8" width="20" customWidth="1"/>
    <col min="9" max="9" width="14.140625" customWidth="1"/>
    <col min="10" max="10" width="15" customWidth="1"/>
    <col min="12" max="12" width="13.85546875" customWidth="1"/>
  </cols>
  <sheetData>
    <row r="2" spans="3:14" ht="15.75">
      <c r="C2" s="2"/>
      <c r="D2" s="17"/>
      <c r="E2" s="26"/>
    </row>
    <row r="4" spans="3:14" ht="15.75">
      <c r="C4" s="26" t="s">
        <v>102</v>
      </c>
      <c r="D4" s="27">
        <v>5</v>
      </c>
      <c r="E4" s="26" t="s">
        <v>93</v>
      </c>
      <c r="H4" t="s">
        <v>110</v>
      </c>
      <c r="I4" s="1">
        <v>1.2E+25</v>
      </c>
      <c r="J4" t="s">
        <v>82</v>
      </c>
      <c r="L4" t="s">
        <v>122</v>
      </c>
      <c r="M4" s="1">
        <v>112000000000000</v>
      </c>
      <c r="N4" t="s">
        <v>86</v>
      </c>
    </row>
    <row r="5" spans="3:14" ht="15.75">
      <c r="C5" s="26"/>
      <c r="D5" s="27"/>
      <c r="E5" s="26"/>
      <c r="H5" t="s">
        <v>111</v>
      </c>
      <c r="I5" s="1">
        <v>5.9999999999999999E+24</v>
      </c>
      <c r="J5" t="s">
        <v>82</v>
      </c>
      <c r="L5" t="s">
        <v>123</v>
      </c>
      <c r="M5" s="1">
        <v>105000000000000</v>
      </c>
      <c r="N5" t="s">
        <v>86</v>
      </c>
    </row>
    <row r="6" spans="3:14" ht="15.75">
      <c r="C6" s="26" t="s">
        <v>103</v>
      </c>
      <c r="D6" s="27">
        <v>6.5</v>
      </c>
      <c r="E6" s="26" t="s">
        <v>93</v>
      </c>
      <c r="H6" t="s">
        <v>112</v>
      </c>
      <c r="I6">
        <v>4.5</v>
      </c>
      <c r="J6" t="s">
        <v>113</v>
      </c>
      <c r="L6" t="s">
        <v>112</v>
      </c>
      <c r="M6">
        <v>7.75</v>
      </c>
      <c r="N6" t="s">
        <v>113</v>
      </c>
    </row>
    <row r="7" spans="3:14" ht="15.75">
      <c r="C7" s="26" t="s">
        <v>107</v>
      </c>
      <c r="D7" s="28">
        <v>1.5E+26</v>
      </c>
      <c r="E7" s="26" t="s">
        <v>82</v>
      </c>
      <c r="H7" t="s">
        <v>103</v>
      </c>
      <c r="I7" s="9">
        <f>-I6/(LN(I5/I4))</f>
        <v>6.4921276840003355</v>
      </c>
      <c r="J7" t="s">
        <v>113</v>
      </c>
      <c r="L7" t="s">
        <v>124</v>
      </c>
      <c r="M7" s="9">
        <f>-M6/(LN(M5/M4))</f>
        <v>120.0833217649967</v>
      </c>
      <c r="N7" t="s">
        <v>113</v>
      </c>
    </row>
    <row r="8" spans="3:14" ht="15.75">
      <c r="C8" s="26" t="s">
        <v>158</v>
      </c>
      <c r="D8" s="28">
        <f>0.000001/(1E-24*0.000000000001)</f>
        <v>1E+30</v>
      </c>
      <c r="E8" s="26" t="s">
        <v>114</v>
      </c>
    </row>
    <row r="11" spans="3:14" ht="15.75">
      <c r="C11" s="26" t="s">
        <v>104</v>
      </c>
      <c r="D11" s="26" t="s">
        <v>105</v>
      </c>
      <c r="E11" s="26" t="s">
        <v>109</v>
      </c>
      <c r="F11" s="26" t="s">
        <v>126</v>
      </c>
    </row>
    <row r="12" spans="3:14">
      <c r="C12">
        <v>0.5</v>
      </c>
      <c r="D12">
        <f t="shared" ref="D12:D41" si="0">Lumi_lifetime*(1-EXP(-(C12/Lumi_lifetime)))/(Turn_around_time+C12)</f>
        <v>8.7500543422717417E-2</v>
      </c>
      <c r="E12" s="19">
        <f t="shared" ref="E12:E41" si="1">Peak_luminosity*Lumi_lifetime*3600*(1-EXP(-(C12/Lumi_lifetime)))/(Turn_around_time+C12)/_1pb_1</f>
        <v>4.7250293448267408E-2</v>
      </c>
      <c r="F12" s="29">
        <f>24*E12</f>
        <v>1.1340070427584177</v>
      </c>
    </row>
    <row r="13" spans="3:14">
      <c r="C13">
        <v>1</v>
      </c>
      <c r="D13">
        <f t="shared" si="0"/>
        <v>0.15447908757618867</v>
      </c>
      <c r="E13" s="19">
        <f t="shared" si="1"/>
        <v>8.3418707291141869E-2</v>
      </c>
      <c r="F13" s="29">
        <f t="shared" ref="F13:F41" si="2">24*E13</f>
        <v>2.0020489749874049</v>
      </c>
    </row>
    <row r="14" spans="3:14">
      <c r="C14">
        <v>1.5</v>
      </c>
      <c r="D14">
        <f t="shared" si="0"/>
        <v>0.20607734218204873</v>
      </c>
      <c r="E14" s="19">
        <f t="shared" si="1"/>
        <v>0.11128176477830633</v>
      </c>
      <c r="F14" s="29">
        <f t="shared" si="2"/>
        <v>2.670762354679352</v>
      </c>
    </row>
    <row r="15" spans="3:14">
      <c r="C15">
        <v>2</v>
      </c>
      <c r="D15">
        <f t="shared" si="0"/>
        <v>0.24594005373629299</v>
      </c>
      <c r="E15" s="19">
        <f t="shared" si="1"/>
        <v>0.13280762901759818</v>
      </c>
      <c r="F15" s="29">
        <f t="shared" si="2"/>
        <v>3.1873830964223564</v>
      </c>
    </row>
    <row r="16" spans="3:14">
      <c r="C16">
        <v>2.5</v>
      </c>
      <c r="D16">
        <f t="shared" si="0"/>
        <v>0.276715921453066</v>
      </c>
      <c r="E16" s="19">
        <f t="shared" si="1"/>
        <v>0.14942659758465565</v>
      </c>
      <c r="F16" s="29">
        <f t="shared" si="2"/>
        <v>3.5862383420317356</v>
      </c>
    </row>
    <row r="17" spans="3:6">
      <c r="C17">
        <v>3</v>
      </c>
      <c r="D17">
        <f t="shared" si="0"/>
        <v>0.30037053589016521</v>
      </c>
      <c r="E17" s="19">
        <f t="shared" si="1"/>
        <v>0.16220008938068919</v>
      </c>
      <c r="F17" s="29">
        <f t="shared" si="2"/>
        <v>3.8928021451365407</v>
      </c>
    </row>
    <row r="18" spans="3:6">
      <c r="C18">
        <v>3.5</v>
      </c>
      <c r="D18">
        <f t="shared" si="0"/>
        <v>0.31838875200785516</v>
      </c>
      <c r="E18" s="19">
        <f t="shared" si="1"/>
        <v>0.17192992608424179</v>
      </c>
      <c r="F18" s="29">
        <f t="shared" si="2"/>
        <v>4.1263182260218034</v>
      </c>
    </row>
    <row r="19" spans="3:6">
      <c r="C19">
        <v>4</v>
      </c>
      <c r="D19">
        <f t="shared" si="0"/>
        <v>0.33190950253750318</v>
      </c>
      <c r="E19" s="19">
        <f t="shared" si="1"/>
        <v>0.17923113137025168</v>
      </c>
      <c r="F19" s="29">
        <f t="shared" si="2"/>
        <v>4.3015471528860401</v>
      </c>
    </row>
    <row r="20" spans="3:6">
      <c r="C20">
        <v>4.5</v>
      </c>
      <c r="D20">
        <f t="shared" si="0"/>
        <v>0.34181794922697839</v>
      </c>
      <c r="E20" s="19">
        <f t="shared" si="1"/>
        <v>0.18458169258256835</v>
      </c>
      <c r="F20" s="29">
        <f t="shared" si="2"/>
        <v>4.4299606219816408</v>
      </c>
    </row>
    <row r="21" spans="3:6">
      <c r="C21">
        <v>5</v>
      </c>
      <c r="D21">
        <f t="shared" si="0"/>
        <v>0.34880990999973605</v>
      </c>
      <c r="E21" s="19">
        <f t="shared" si="1"/>
        <v>0.18835735139985746</v>
      </c>
      <c r="F21" s="29">
        <f t="shared" si="2"/>
        <v>4.5205764335965792</v>
      </c>
    </row>
    <row r="22" spans="3:6">
      <c r="C22">
        <v>5.5</v>
      </c>
      <c r="D22">
        <f t="shared" si="0"/>
        <v>0.35343780893998039</v>
      </c>
      <c r="E22" s="19">
        <f t="shared" si="1"/>
        <v>0.19085641682758941</v>
      </c>
      <c r="F22" s="29">
        <f t="shared" si="2"/>
        <v>4.5805540038621455</v>
      </c>
    </row>
    <row r="23" spans="3:6">
      <c r="C23">
        <v>6</v>
      </c>
      <c r="D23">
        <f t="shared" si="0"/>
        <v>0.35614403311044335</v>
      </c>
      <c r="E23" s="19">
        <f t="shared" si="1"/>
        <v>0.19231777787963938</v>
      </c>
      <c r="F23" s="29">
        <f t="shared" si="2"/>
        <v>4.6156266691113448</v>
      </c>
    </row>
    <row r="24" spans="3:6">
      <c r="C24">
        <v>6.5</v>
      </c>
      <c r="D24">
        <f t="shared" si="0"/>
        <v>0.35728553325092388</v>
      </c>
      <c r="E24" s="19">
        <f t="shared" si="1"/>
        <v>0.19293418795549891</v>
      </c>
      <c r="F24" s="29">
        <f t="shared" si="2"/>
        <v>4.630420510931974</v>
      </c>
    </row>
    <row r="25" spans="3:6">
      <c r="C25">
        <v>7</v>
      </c>
      <c r="D25">
        <f t="shared" si="0"/>
        <v>0.35715222608138603</v>
      </c>
      <c r="E25" s="19">
        <f t="shared" si="1"/>
        <v>0.19286220208394844</v>
      </c>
      <c r="F25" s="29">
        <f t="shared" si="2"/>
        <v>4.6286928500147626</v>
      </c>
    </row>
    <row r="26" spans="3:6">
      <c r="C26">
        <v>7.5</v>
      </c>
      <c r="D26">
        <f t="shared" si="0"/>
        <v>0.3559809371877472</v>
      </c>
      <c r="E26" s="19">
        <f t="shared" si="1"/>
        <v>0.19222970608138346</v>
      </c>
      <c r="F26" s="29">
        <f t="shared" si="2"/>
        <v>4.6135129459532029</v>
      </c>
    </row>
    <row r="27" spans="3:6">
      <c r="C27">
        <v>8</v>
      </c>
      <c r="D27">
        <f t="shared" si="0"/>
        <v>0.35396608815429292</v>
      </c>
      <c r="E27" s="19">
        <f t="shared" si="1"/>
        <v>0.19114168760331818</v>
      </c>
      <c r="F27" s="29">
        <f t="shared" si="2"/>
        <v>4.5874005024796363</v>
      </c>
    </row>
    <row r="28" spans="3:6">
      <c r="C28">
        <v>8.5</v>
      </c>
      <c r="D28">
        <f t="shared" si="0"/>
        <v>0.35126797474791838</v>
      </c>
      <c r="E28" s="19">
        <f t="shared" si="1"/>
        <v>0.18968470636387591</v>
      </c>
      <c r="F28" s="29">
        <f t="shared" si="2"/>
        <v>4.5524329527330218</v>
      </c>
    </row>
    <row r="29" spans="3:6">
      <c r="C29">
        <v>9</v>
      </c>
      <c r="D29">
        <f t="shared" si="0"/>
        <v>0.34801924082079178</v>
      </c>
      <c r="E29" s="19">
        <f t="shared" si="1"/>
        <v>0.18793039004322756</v>
      </c>
      <c r="F29" s="29">
        <f t="shared" si="2"/>
        <v>4.5103293610374617</v>
      </c>
    </row>
    <row r="30" spans="3:6">
      <c r="C30">
        <v>10</v>
      </c>
      <c r="D30">
        <f t="shared" si="0"/>
        <v>0.34029182531859786</v>
      </c>
      <c r="E30" s="19">
        <f t="shared" si="1"/>
        <v>0.18375758567204287</v>
      </c>
      <c r="F30" s="29">
        <f t="shared" si="2"/>
        <v>4.4101820561290292</v>
      </c>
    </row>
    <row r="31" spans="3:6">
      <c r="C31">
        <v>11</v>
      </c>
      <c r="D31">
        <f t="shared" si="0"/>
        <v>0.33146173098459519</v>
      </c>
      <c r="E31" s="19">
        <f t="shared" si="1"/>
        <v>0.17898933473168141</v>
      </c>
      <c r="F31" s="29">
        <f t="shared" si="2"/>
        <v>4.2957440335603536</v>
      </c>
    </row>
    <row r="32" spans="3:6">
      <c r="C32">
        <v>12</v>
      </c>
      <c r="D32">
        <f t="shared" si="0"/>
        <v>0.32200117180138021</v>
      </c>
      <c r="E32" s="19">
        <f t="shared" si="1"/>
        <v>0.17388063277274532</v>
      </c>
      <c r="F32" s="29">
        <f t="shared" si="2"/>
        <v>4.1731351865458874</v>
      </c>
    </row>
    <row r="33" spans="3:6">
      <c r="C33">
        <v>13</v>
      </c>
      <c r="D33">
        <f t="shared" si="0"/>
        <v>0.31224003660900101</v>
      </c>
      <c r="E33" s="19">
        <f t="shared" si="1"/>
        <v>0.16860961976886052</v>
      </c>
      <c r="F33" s="29">
        <f t="shared" si="2"/>
        <v>4.0466308744526529</v>
      </c>
    </row>
    <row r="34" spans="3:6">
      <c r="C34">
        <v>14</v>
      </c>
      <c r="D34">
        <f t="shared" si="0"/>
        <v>0.30240839396787156</v>
      </c>
      <c r="E34" s="19">
        <f t="shared" si="1"/>
        <v>0.16330053274265063</v>
      </c>
      <c r="F34" s="29">
        <f t="shared" si="2"/>
        <v>3.919212785823615</v>
      </c>
    </row>
    <row r="35" spans="3:6">
      <c r="C35">
        <v>15</v>
      </c>
      <c r="D35">
        <f t="shared" si="0"/>
        <v>0.29266556133917099</v>
      </c>
      <c r="E35" s="19">
        <f t="shared" si="1"/>
        <v>0.15803940312315232</v>
      </c>
      <c r="F35" s="29">
        <f t="shared" si="2"/>
        <v>3.7929456749556554</v>
      </c>
    </row>
    <row r="36" spans="3:6">
      <c r="C36">
        <v>16</v>
      </c>
      <c r="D36">
        <f t="shared" si="0"/>
        <v>0.28312031006509747</v>
      </c>
      <c r="E36" s="19">
        <f t="shared" si="1"/>
        <v>0.15288496743515262</v>
      </c>
      <c r="F36" s="29">
        <f t="shared" si="2"/>
        <v>3.6692392184436629</v>
      </c>
    </row>
    <row r="37" spans="3:6">
      <c r="C37">
        <v>17</v>
      </c>
      <c r="D37">
        <f t="shared" si="0"/>
        <v>0.27384510262616107</v>
      </c>
      <c r="E37" s="19">
        <f t="shared" si="1"/>
        <v>0.14787635541812696</v>
      </c>
      <c r="F37" s="29">
        <f t="shared" si="2"/>
        <v>3.5490325300350474</v>
      </c>
    </row>
    <row r="38" spans="3:6">
      <c r="C38">
        <v>18</v>
      </c>
      <c r="D38">
        <f t="shared" si="0"/>
        <v>0.264886240809458</v>
      </c>
      <c r="E38" s="19">
        <f t="shared" si="1"/>
        <v>0.14303857003710732</v>
      </c>
      <c r="F38" s="29">
        <f t="shared" si="2"/>
        <v>3.4329256808905759</v>
      </c>
    </row>
    <row r="39" spans="3:6">
      <c r="C39">
        <v>19</v>
      </c>
      <c r="D39">
        <f t="shared" si="0"/>
        <v>0.25627116868734845</v>
      </c>
      <c r="E39" s="19">
        <f t="shared" si="1"/>
        <v>0.13838643109116816</v>
      </c>
      <c r="F39" s="29">
        <f t="shared" si="2"/>
        <v>3.3212743461880359</v>
      </c>
    </row>
    <row r="40" spans="3:6">
      <c r="C40">
        <v>20</v>
      </c>
      <c r="D40">
        <f t="shared" si="0"/>
        <v>0.24801376924263002</v>
      </c>
      <c r="E40" s="19">
        <f t="shared" si="1"/>
        <v>0.1339274353910202</v>
      </c>
      <c r="F40" s="29">
        <f t="shared" si="2"/>
        <v>3.2142584493844848</v>
      </c>
    </row>
    <row r="41" spans="3:6">
      <c r="C41">
        <v>25</v>
      </c>
      <c r="D41">
        <f t="shared" si="0"/>
        <v>0.21203828984541512</v>
      </c>
      <c r="E41" s="19">
        <f t="shared" si="1"/>
        <v>0.11450067651652418</v>
      </c>
      <c r="F41" s="29">
        <f t="shared" si="2"/>
        <v>2.7480162363965803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R27"/>
  <sheetViews>
    <sheetView topLeftCell="A7" workbookViewId="0">
      <selection activeCell="F28" sqref="F28"/>
    </sheetView>
  </sheetViews>
  <sheetFormatPr defaultRowHeight="15"/>
  <cols>
    <col min="3" max="3" width="10.140625" bestFit="1" customWidth="1"/>
    <col min="4" max="4" width="12.140625" customWidth="1"/>
    <col min="12" max="12" width="10.5703125" customWidth="1"/>
    <col min="13" max="13" width="13.5703125" customWidth="1"/>
    <col min="14" max="14" width="15" customWidth="1"/>
  </cols>
  <sheetData>
    <row r="3" spans="2:18" ht="15" customHeight="1">
      <c r="B3" s="2" t="s">
        <v>5</v>
      </c>
      <c r="C3" s="2"/>
      <c r="D3" s="16">
        <v>450</v>
      </c>
      <c r="E3" s="2" t="s">
        <v>6</v>
      </c>
      <c r="K3" s="2"/>
      <c r="L3" s="15"/>
      <c r="M3" s="2"/>
      <c r="N3" s="2"/>
      <c r="O3" s="15"/>
      <c r="P3" s="2"/>
      <c r="Q3" s="2"/>
      <c r="R3" s="19"/>
    </row>
    <row r="4" spans="2:18" ht="15" customHeight="1">
      <c r="B4" s="2" t="s">
        <v>7</v>
      </c>
      <c r="C4" s="2"/>
      <c r="D4" s="17">
        <f>D3/0.938</f>
        <v>479.74413646055439</v>
      </c>
      <c r="E4" s="2"/>
      <c r="K4" s="2"/>
      <c r="L4" s="15"/>
      <c r="M4" s="2"/>
      <c r="N4" s="2"/>
      <c r="O4" s="15"/>
      <c r="P4" s="2"/>
      <c r="Q4" s="2"/>
      <c r="R4" s="19"/>
    </row>
    <row r="5" spans="2:18">
      <c r="B5" s="2" t="s">
        <v>38</v>
      </c>
      <c r="C5" s="2"/>
      <c r="D5" s="16">
        <v>11</v>
      </c>
      <c r="E5" s="2" t="s">
        <v>8</v>
      </c>
    </row>
    <row r="6" spans="2:18">
      <c r="B6" s="2" t="s">
        <v>9</v>
      </c>
      <c r="C6" s="2"/>
      <c r="D6" s="16">
        <v>2.7</v>
      </c>
      <c r="E6" s="2" t="s">
        <v>10</v>
      </c>
      <c r="K6" s="20" t="s">
        <v>64</v>
      </c>
      <c r="L6" s="23" t="s">
        <v>65</v>
      </c>
      <c r="M6" s="23" t="s">
        <v>66</v>
      </c>
      <c r="N6" s="23" t="s">
        <v>69</v>
      </c>
    </row>
    <row r="7" spans="2:18">
      <c r="B7" s="2" t="s">
        <v>11</v>
      </c>
      <c r="C7" s="2"/>
      <c r="D7" s="18">
        <f>11240*100*D4/(4*PI()*BetaStar_ref_14*D6)</f>
        <v>1444806.4550243132</v>
      </c>
      <c r="E7" s="2"/>
      <c r="K7" s="2" t="s">
        <v>67</v>
      </c>
      <c r="L7" s="21">
        <f xml:space="preserve"> 2095.8*450/Energy_14</f>
        <v>2095.8000000000002</v>
      </c>
      <c r="M7" s="21">
        <f>LHCbXing_14</f>
        <v>2095.8000000000002</v>
      </c>
      <c r="N7" s="22">
        <f>SQRT(1/(1+POWER(Bunch_Length*1000000/Beam_size_LHCb,2)*POWER(TAN(LHCbXing_14*0.000001),2)))</f>
        <v>0.21762588780734132</v>
      </c>
    </row>
    <row r="8" spans="2:18">
      <c r="B8" s="2" t="s">
        <v>59</v>
      </c>
      <c r="C8" s="2"/>
      <c r="D8" s="15">
        <v>1.2</v>
      </c>
      <c r="E8" s="2" t="s">
        <v>60</v>
      </c>
      <c r="K8" s="2" t="s">
        <v>68</v>
      </c>
      <c r="L8" s="21">
        <f>1049*450/Energy_14</f>
        <v>1049</v>
      </c>
      <c r="M8" s="21">
        <f>ALICEXing</f>
        <v>134.87142857142857</v>
      </c>
      <c r="N8" s="22">
        <f>SQRT(1/(1+POWER(Bunch_Length*1000000/Beam_size_ALICE,2)*POWER(TAN(ALICEXing_14*0.000001),2)))</f>
        <v>0.63097497787420542</v>
      </c>
    </row>
    <row r="9" spans="2:18">
      <c r="B9" s="2" t="s">
        <v>59</v>
      </c>
      <c r="D9" s="16">
        <f>D8*0.000000001*300000000/4</f>
        <v>0.09</v>
      </c>
      <c r="E9" s="2" t="s">
        <v>8</v>
      </c>
    </row>
    <row r="10" spans="2:18">
      <c r="B10" s="2" t="s">
        <v>61</v>
      </c>
      <c r="D10" s="17">
        <f>1000000*SQRT(D5*D6*0.000001/D4)</f>
        <v>248.81318293048702</v>
      </c>
      <c r="E10" s="2" t="s">
        <v>10</v>
      </c>
    </row>
    <row r="11" spans="2:18">
      <c r="B11" s="2" t="s">
        <v>62</v>
      </c>
      <c r="D11" s="17">
        <f>1000000*SQRT(10*D6*0.000001/D4)</f>
        <v>237.23406163533937</v>
      </c>
      <c r="E11" s="2" t="s">
        <v>10</v>
      </c>
    </row>
    <row r="12" spans="2:18">
      <c r="B12" s="2" t="s">
        <v>63</v>
      </c>
      <c r="D12" s="17">
        <f>1000000*SQRT(10*D6*0.000001/D4)</f>
        <v>237.23406163533937</v>
      </c>
      <c r="E12" s="2" t="s">
        <v>10</v>
      </c>
    </row>
    <row r="18" spans="3:15">
      <c r="C18" t="s">
        <v>0</v>
      </c>
      <c r="D18" t="s">
        <v>13</v>
      </c>
      <c r="E18" t="s">
        <v>1</v>
      </c>
      <c r="F18" t="s">
        <v>2</v>
      </c>
      <c r="G18" t="s">
        <v>3</v>
      </c>
      <c r="H18" t="s">
        <v>4</v>
      </c>
      <c r="I18" t="s">
        <v>9</v>
      </c>
      <c r="J18" t="s">
        <v>23</v>
      </c>
      <c r="K18" t="s">
        <v>24</v>
      </c>
      <c r="L18" t="s">
        <v>20</v>
      </c>
      <c r="M18" t="s">
        <v>56</v>
      </c>
      <c r="N18" t="s">
        <v>18</v>
      </c>
      <c r="O18" t="s">
        <v>119</v>
      </c>
    </row>
    <row r="19" spans="3:15">
      <c r="C19" s="13">
        <v>40642</v>
      </c>
      <c r="D19" s="7" t="s">
        <v>74</v>
      </c>
      <c r="E19" s="7">
        <v>588</v>
      </c>
      <c r="F19" s="8">
        <v>130000000000</v>
      </c>
      <c r="G19" s="7">
        <v>588</v>
      </c>
      <c r="H19" s="7">
        <v>11</v>
      </c>
      <c r="I19" s="7">
        <v>2.7</v>
      </c>
      <c r="J19" s="7">
        <v>170</v>
      </c>
      <c r="K19" s="7">
        <v>0.95</v>
      </c>
      <c r="L19" s="8"/>
      <c r="M19" s="8">
        <f t="shared" ref="M19:M24" si="0">Lfactor_14*G19*(BetaStar_ref_14/H19)*(Emittance_ref/I19)*F19*F19*K19</f>
        <v>1.1113637471545665E+31</v>
      </c>
      <c r="N19" s="10">
        <f t="shared" ref="N19:N24" si="1">Energy_14*E19*F19*1.602E-19*1000000000*0.001</f>
        <v>5510.5596000000005</v>
      </c>
      <c r="O19">
        <v>72</v>
      </c>
    </row>
    <row r="20" spans="3:15">
      <c r="C20" s="13">
        <v>40643</v>
      </c>
      <c r="D20" s="7" t="s">
        <v>73</v>
      </c>
      <c r="E20" s="7">
        <v>804</v>
      </c>
      <c r="F20" s="8">
        <v>130000000000</v>
      </c>
      <c r="G20" s="7">
        <v>804</v>
      </c>
      <c r="H20" s="7">
        <v>10</v>
      </c>
      <c r="I20" s="7">
        <v>2.7</v>
      </c>
      <c r="J20" s="7">
        <v>170</v>
      </c>
      <c r="K20" s="7">
        <v>0.95</v>
      </c>
      <c r="L20" s="8"/>
      <c r="M20" s="8">
        <f t="shared" si="0"/>
        <v>1.6715817992916646E+31</v>
      </c>
      <c r="N20" s="10">
        <f t="shared" si="1"/>
        <v>7534.8468000000003</v>
      </c>
      <c r="O20">
        <v>72</v>
      </c>
    </row>
    <row r="21" spans="3:15">
      <c r="C21" s="13">
        <v>40644</v>
      </c>
      <c r="D21" s="7" t="s">
        <v>75</v>
      </c>
      <c r="E21" s="7">
        <v>1020</v>
      </c>
      <c r="F21" s="8">
        <v>120000000000</v>
      </c>
      <c r="G21" s="7">
        <v>1020</v>
      </c>
      <c r="H21" s="7">
        <v>10</v>
      </c>
      <c r="I21" s="7">
        <v>2.7</v>
      </c>
      <c r="J21" s="7">
        <v>170</v>
      </c>
      <c r="K21" s="7">
        <v>0.95</v>
      </c>
      <c r="L21" s="8"/>
      <c r="M21" s="8">
        <f t="shared" si="0"/>
        <v>1.8069558618148879E+31</v>
      </c>
      <c r="N21" s="10">
        <f t="shared" si="1"/>
        <v>8823.8160000000007</v>
      </c>
      <c r="O21">
        <v>72</v>
      </c>
    </row>
    <row r="22" spans="3:15">
      <c r="C22" s="13">
        <v>40682</v>
      </c>
      <c r="D22" s="7" t="s">
        <v>118</v>
      </c>
      <c r="E22" s="7">
        <v>1308</v>
      </c>
      <c r="F22" s="8">
        <v>115000000000</v>
      </c>
      <c r="G22" s="7">
        <v>1308</v>
      </c>
      <c r="H22" s="7">
        <v>10</v>
      </c>
      <c r="I22" s="7">
        <v>3</v>
      </c>
      <c r="J22" s="7">
        <v>170</v>
      </c>
      <c r="K22" s="7">
        <v>0.95</v>
      </c>
      <c r="L22" s="8"/>
      <c r="M22" s="8">
        <f t="shared" si="0"/>
        <v>1.9152735652225775E+31</v>
      </c>
      <c r="N22" s="10">
        <f t="shared" si="1"/>
        <v>10843.7778</v>
      </c>
      <c r="O22">
        <v>108</v>
      </c>
    </row>
    <row r="23" spans="3:15">
      <c r="C23" s="13">
        <v>40722</v>
      </c>
      <c r="D23" s="7" t="s">
        <v>133</v>
      </c>
      <c r="E23" s="7">
        <v>1380</v>
      </c>
      <c r="F23" s="8">
        <v>120000000000</v>
      </c>
      <c r="G23" s="7">
        <v>1380</v>
      </c>
      <c r="H23" s="7">
        <v>10</v>
      </c>
      <c r="I23" s="7">
        <v>2</v>
      </c>
      <c r="J23" s="7">
        <v>170</v>
      </c>
      <c r="K23" s="7">
        <v>0.95</v>
      </c>
      <c r="L23" s="8"/>
      <c r="M23" s="8">
        <f t="shared" si="0"/>
        <v>3.3003517358442505E+31</v>
      </c>
      <c r="N23" s="10">
        <f t="shared" si="1"/>
        <v>11938.103999999999</v>
      </c>
      <c r="O23" s="7">
        <v>144</v>
      </c>
    </row>
    <row r="24" spans="3:15">
      <c r="C24" s="13">
        <v>40761</v>
      </c>
      <c r="D24" s="7" t="s">
        <v>133</v>
      </c>
      <c r="E24" s="7">
        <v>1380</v>
      </c>
      <c r="F24" s="8">
        <v>126000000000</v>
      </c>
      <c r="G24" s="7">
        <v>1380</v>
      </c>
      <c r="H24" s="7">
        <v>10</v>
      </c>
      <c r="I24" s="7">
        <v>2</v>
      </c>
      <c r="J24" s="7">
        <v>170</v>
      </c>
      <c r="K24" s="7">
        <v>0.95</v>
      </c>
      <c r="L24" s="8"/>
      <c r="M24" s="8">
        <f t="shared" si="0"/>
        <v>3.6386377887682865E+31</v>
      </c>
      <c r="N24" s="10">
        <f t="shared" si="1"/>
        <v>12535.009200000002</v>
      </c>
      <c r="O24" s="7">
        <v>144</v>
      </c>
    </row>
    <row r="25" spans="3:15">
      <c r="C25" s="13">
        <v>40767</v>
      </c>
      <c r="D25" s="7" t="s">
        <v>133</v>
      </c>
      <c r="E25" s="7">
        <v>1380</v>
      </c>
      <c r="F25" s="8">
        <v>135000000000</v>
      </c>
      <c r="G25" s="7">
        <v>1380</v>
      </c>
      <c r="H25" s="7">
        <v>10</v>
      </c>
      <c r="I25" s="7">
        <v>2</v>
      </c>
      <c r="J25" s="7">
        <v>170</v>
      </c>
      <c r="K25" s="7">
        <v>0.95</v>
      </c>
      <c r="L25" s="8"/>
      <c r="M25" s="8">
        <f>Lfactor_14*G25*(BetaStar_ref_14/H25)*(Emittance_ref/I25)*F25*F25*K25</f>
        <v>4.1770076656778804E+31</v>
      </c>
      <c r="N25" s="10">
        <f>Energy_14*E25*F25*1.602E-19*1000000000*0.001</f>
        <v>13430.367</v>
      </c>
      <c r="O25" s="7">
        <v>144</v>
      </c>
    </row>
    <row r="26" spans="3:15">
      <c r="C26" s="13">
        <v>40801</v>
      </c>
      <c r="D26" s="7" t="s">
        <v>133</v>
      </c>
      <c r="E26" s="7">
        <v>1380</v>
      </c>
      <c r="F26" s="8">
        <v>140000000000</v>
      </c>
      <c r="G26" s="7">
        <v>1380</v>
      </c>
      <c r="H26" s="7">
        <v>10</v>
      </c>
      <c r="I26" s="7">
        <v>2</v>
      </c>
      <c r="J26" s="7">
        <v>170</v>
      </c>
      <c r="K26" s="7">
        <v>0.95</v>
      </c>
      <c r="L26" s="8"/>
      <c r="M26" s="8">
        <f>Lfactor_14*G26*(BetaStar_ref_14/H26)*(Emittance_ref/I26)*F26*F26*K26</f>
        <v>4.4921454182324532E+31</v>
      </c>
      <c r="N26" s="10">
        <f>Energy_14*E26*F26*1.602E-19*1000000000*0.001</f>
        <v>13927.788</v>
      </c>
      <c r="O26" s="7">
        <v>144</v>
      </c>
    </row>
    <row r="27" spans="3:15">
      <c r="C27" s="13">
        <v>40833</v>
      </c>
      <c r="D27" s="7" t="s">
        <v>133</v>
      </c>
      <c r="E27" s="7">
        <v>1380</v>
      </c>
      <c r="F27" s="8">
        <v>146300000000</v>
      </c>
      <c r="G27" s="7">
        <v>1380</v>
      </c>
      <c r="H27" s="7">
        <v>10</v>
      </c>
      <c r="I27" s="7">
        <v>2</v>
      </c>
      <c r="J27" s="7">
        <v>170</v>
      </c>
      <c r="K27" s="7">
        <v>0.95</v>
      </c>
      <c r="L27" s="8"/>
      <c r="M27" s="8">
        <f>Lfactor_14*G27*(BetaStar_ref_14/H27)*(Emittance_ref/I27)*F27*F27*K27</f>
        <v>4.9055351003452948E+31</v>
      </c>
      <c r="N27" s="10">
        <f>Energy_14*E27*F27*1.602E-19*1000000000*0.001</f>
        <v>14554.538460000002</v>
      </c>
      <c r="O27" s="7">
        <v>144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80</vt:i4>
      </vt:variant>
    </vt:vector>
  </HeadingPairs>
  <TitlesOfParts>
    <vt:vector size="92" baseType="lpstr">
      <vt:lpstr>Lumi Protons 2012</vt:lpstr>
      <vt:lpstr>Lumi Protons 2011</vt:lpstr>
      <vt:lpstr>Lumi Ions 2011</vt:lpstr>
      <vt:lpstr>Lumi Ions 2010</vt:lpstr>
      <vt:lpstr>Records</vt:lpstr>
      <vt:lpstr>Fill length p</vt:lpstr>
      <vt:lpstr>Production hour</vt:lpstr>
      <vt:lpstr>Fill length ion</vt:lpstr>
      <vt:lpstr>450 GeV-Scrubbing</vt:lpstr>
      <vt:lpstr>1.38 TeV</vt:lpstr>
      <vt:lpstr>Plan-achieved</vt:lpstr>
      <vt:lpstr>Lumi Protons 2010</vt:lpstr>
      <vt:lpstr>'Fill length ion'!_1pb_1</vt:lpstr>
      <vt:lpstr>'Production hour'!_1pb_1</vt:lpstr>
      <vt:lpstr>_1pb_1</vt:lpstr>
      <vt:lpstr>'Lumi Protons 2012'!ALICE_Total_Xing</vt:lpstr>
      <vt:lpstr>ALICE_Total_Xing</vt:lpstr>
      <vt:lpstr>'Lumi Protons 2012'!ALICE_Xing</vt:lpstr>
      <vt:lpstr>ALICE_Xing</vt:lpstr>
      <vt:lpstr>'Lumi Protons 2012'!ALICETotalXing</vt:lpstr>
      <vt:lpstr>ALICETotalXing</vt:lpstr>
      <vt:lpstr>'Lumi Protons 2012'!ALICEXing</vt:lpstr>
      <vt:lpstr>ALICEXing</vt:lpstr>
      <vt:lpstr>'450 GeV-Scrubbing'!ALICEXing_14</vt:lpstr>
      <vt:lpstr>ALICEXing_14</vt:lpstr>
      <vt:lpstr>'Lumi Protons 2012'!ATLAS_TotalXing</vt:lpstr>
      <vt:lpstr>ATLAS_TotalXing</vt:lpstr>
      <vt:lpstr>'Lumi Protons 2012'!Beam_size</vt:lpstr>
      <vt:lpstr>Beam_size</vt:lpstr>
      <vt:lpstr>'Lumi Protons 2012'!Beam_size_ALICE</vt:lpstr>
      <vt:lpstr>Beam_size_ALICE</vt:lpstr>
      <vt:lpstr>'Lumi Protons 2012'!Beam_size_LHCb</vt:lpstr>
      <vt:lpstr>Beam_size_LHCb</vt:lpstr>
      <vt:lpstr>'Lumi Protons 2012'!betaStar_ref</vt:lpstr>
      <vt:lpstr>betaStar_ref</vt:lpstr>
      <vt:lpstr>'450 GeV-Scrubbing'!BetaStar_ref_14</vt:lpstr>
      <vt:lpstr>BetaStar_ref_14</vt:lpstr>
      <vt:lpstr>'Lumi Protons 2012'!Bunch_Length</vt:lpstr>
      <vt:lpstr>Bunch_Length</vt:lpstr>
      <vt:lpstr>'Lumi Ions 2011'!EmitP</vt:lpstr>
      <vt:lpstr>EmitP</vt:lpstr>
      <vt:lpstr>'Lumi Protons 2012'!Emittance_ref</vt:lpstr>
      <vt:lpstr>Emittance_ref</vt:lpstr>
      <vt:lpstr>'Lumi Ions 2010'!Energy</vt:lpstr>
      <vt:lpstr>'Lumi Ions 2011'!Energy</vt:lpstr>
      <vt:lpstr>'Lumi Protons 2011'!Energy</vt:lpstr>
      <vt:lpstr>'Lumi Protons 2012'!Energy</vt:lpstr>
      <vt:lpstr>Energy</vt:lpstr>
      <vt:lpstr>'450 GeV-Scrubbing'!Energy_14</vt:lpstr>
      <vt:lpstr>Energy_14</vt:lpstr>
      <vt:lpstr>Energy_450</vt:lpstr>
      <vt:lpstr>'Lumi Ions 2011'!GammaIon</vt:lpstr>
      <vt:lpstr>GammaIon</vt:lpstr>
      <vt:lpstr>'Lumi Ions 2011'!GammaP</vt:lpstr>
      <vt:lpstr>GammaP</vt:lpstr>
      <vt:lpstr>'Lumi Ions 2010'!L_factor</vt:lpstr>
      <vt:lpstr>'Lumi Ions 2011'!L_factor</vt:lpstr>
      <vt:lpstr>'Lumi Protons 2011'!L_factor</vt:lpstr>
      <vt:lpstr>'Lumi Protons 2012'!L_factor</vt:lpstr>
      <vt:lpstr>L_factor</vt:lpstr>
      <vt:lpstr>'450 GeV-Scrubbing'!Lfactor_14</vt:lpstr>
      <vt:lpstr>Lfactor_14</vt:lpstr>
      <vt:lpstr>'Lumi Protons 2012'!LHCb_Total_Xing</vt:lpstr>
      <vt:lpstr>LHCb_Total_Xing</vt:lpstr>
      <vt:lpstr>'Lumi Protons 2012'!LHCb_Xing</vt:lpstr>
      <vt:lpstr>LHCb_Xing</vt:lpstr>
      <vt:lpstr>'Lumi Protons 2012'!LHCbTotalXing</vt:lpstr>
      <vt:lpstr>LHCbTotalXing</vt:lpstr>
      <vt:lpstr>'Lumi Protons 2012'!LHCbXing</vt:lpstr>
      <vt:lpstr>LHCbXing</vt:lpstr>
      <vt:lpstr>'450 GeV-Scrubbing'!LHCbXing_14</vt:lpstr>
      <vt:lpstr>LHCbXing_14</vt:lpstr>
      <vt:lpstr>'Fill length ion'!Lumi_lifetime</vt:lpstr>
      <vt:lpstr>'Production hour'!Lumi_lifetime</vt:lpstr>
      <vt:lpstr>Lumi_lifetime</vt:lpstr>
      <vt:lpstr>'Lumi Ions 2011'!Mion</vt:lpstr>
      <vt:lpstr>Mion</vt:lpstr>
      <vt:lpstr>'Fill length ion'!Peak_luminosity</vt:lpstr>
      <vt:lpstr>'Production hour'!Peak_luminosity</vt:lpstr>
      <vt:lpstr>Peak_luminosity</vt:lpstr>
      <vt:lpstr>'Lumi Protons 2012'!rp</vt:lpstr>
      <vt:lpstr>rp</vt:lpstr>
      <vt:lpstr>'Lumi Ions 2010'!Test</vt:lpstr>
      <vt:lpstr>'Lumi Ions 2011'!Test</vt:lpstr>
      <vt:lpstr>'Lumi Protons 2011'!Test</vt:lpstr>
      <vt:lpstr>'Lumi Protons 2012'!Test</vt:lpstr>
      <vt:lpstr>Test</vt:lpstr>
      <vt:lpstr>'Fill length ion'!Turn_around_time</vt:lpstr>
      <vt:lpstr>'Production hour'!Turn_around_time</vt:lpstr>
      <vt:lpstr>Turn_around_time</vt:lpstr>
      <vt:lpstr>'Lumi Ions 2011'!Zion</vt:lpstr>
      <vt:lpstr>Zion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2012-05-10T20:02:38Z</dcterms:modified>
</cp:coreProperties>
</file>