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<sst xmlns="http://schemas.openxmlformats.org/spreadsheetml/2006/main" count="303" uniqueCount="180">
  <si>
    <t>Power Supply Number</t>
  </si>
  <si>
    <t>Magnet</t>
  </si>
  <si>
    <t>(Installation)</t>
  </si>
  <si>
    <t>in Series</t>
  </si>
  <si>
    <t>R per</t>
  </si>
  <si>
    <t>(20º C)</t>
  </si>
  <si>
    <t>L per</t>
  </si>
  <si>
    <t>magnet</t>
  </si>
  <si>
    <t>[mH]</t>
  </si>
  <si>
    <t>[A]</t>
  </si>
  <si>
    <t>(+/-)</t>
  </si>
  <si>
    <t>[m]</t>
  </si>
  <si>
    <t>Loc.</t>
  </si>
  <si>
    <t>QTLD610100</t>
  </si>
  <si>
    <t>QTL</t>
  </si>
  <si>
    <t>BA7</t>
  </si>
  <si>
    <t>QTLF610200</t>
  </si>
  <si>
    <t>QTLD610300</t>
  </si>
  <si>
    <t>QTLF610400</t>
  </si>
  <si>
    <t>QTLD610500</t>
  </si>
  <si>
    <t>QTLF610600</t>
  </si>
  <si>
    <t>1*10-4</t>
  </si>
  <si>
    <t>BA4</t>
  </si>
  <si>
    <t>MBS</t>
  </si>
  <si>
    <t>B1</t>
  </si>
  <si>
    <t>MDH1</t>
  </si>
  <si>
    <t>MDSH</t>
  </si>
  <si>
    <t>MDV1</t>
  </si>
  <si>
    <t>MDSV</t>
  </si>
  <si>
    <t>MDH2</t>
  </si>
  <si>
    <t>MDV2</t>
  </si>
  <si>
    <t>QTL5</t>
  </si>
  <si>
    <t>QTN1</t>
  </si>
  <si>
    <t>QTND</t>
  </si>
  <si>
    <t>QTNF</t>
  </si>
  <si>
    <t>QTN5</t>
  </si>
  <si>
    <t>QTN6</t>
  </si>
  <si>
    <t>QTN7</t>
  </si>
  <si>
    <t>QTN8</t>
  </si>
  <si>
    <t>QTN9</t>
  </si>
  <si>
    <t>QTL10</t>
  </si>
  <si>
    <t>QTL11</t>
  </si>
  <si>
    <t>QTL12</t>
  </si>
  <si>
    <t xml:space="preserve">Magnet </t>
  </si>
  <si>
    <t>Type</t>
  </si>
  <si>
    <t>Number</t>
  </si>
  <si>
    <t>(Optics)</t>
  </si>
  <si>
    <t>mm2</t>
  </si>
  <si>
    <t>U Max</t>
  </si>
  <si>
    <t>Umax</t>
  </si>
  <si>
    <t>Imax</t>
  </si>
  <si>
    <t>mH</t>
  </si>
  <si>
    <t>L di/dt</t>
  </si>
  <si>
    <t>V</t>
  </si>
  <si>
    <r>
      <t>[m</t>
    </r>
    <r>
      <rPr>
        <sz val="8"/>
        <rFont val="Symbol"/>
        <family val="1"/>
      </rPr>
      <t>W</t>
    </r>
    <r>
      <rPr>
        <sz val="8"/>
        <rFont val="Times New Roman"/>
        <family val="1"/>
      </rPr>
      <t>]</t>
    </r>
  </si>
  <si>
    <r>
      <t>m</t>
    </r>
    <r>
      <rPr>
        <sz val="8"/>
        <rFont val="Symbol"/>
        <family val="1"/>
      </rPr>
      <t>W</t>
    </r>
  </si>
  <si>
    <t>M</t>
  </si>
  <si>
    <t>Converter</t>
  </si>
  <si>
    <t>Name</t>
  </si>
  <si>
    <t>I max</t>
  </si>
  <si>
    <t>Precision</t>
  </si>
  <si>
    <t>P.C.</t>
  </si>
  <si>
    <t>Cable</t>
  </si>
  <si>
    <t>total</t>
  </si>
  <si>
    <t>length</t>
  </si>
  <si>
    <t>section</t>
  </si>
  <si>
    <t>Load</t>
  </si>
  <si>
    <t>type</t>
  </si>
  <si>
    <t>Origin</t>
  </si>
  <si>
    <t>Dimensions</t>
  </si>
  <si>
    <t>LEP</t>
  </si>
  <si>
    <t>3x.9x2</t>
  </si>
  <si>
    <t>3.6x.9x2.2</t>
  </si>
  <si>
    <t>2.8x.9x2.2</t>
  </si>
  <si>
    <t>SPS</t>
  </si>
  <si>
    <t xml:space="preserve">LEP </t>
  </si>
  <si>
    <t>3.98x2.25xh</t>
  </si>
  <si>
    <t>Source</t>
  </si>
  <si>
    <t>Flat top</t>
  </si>
  <si>
    <t>power</t>
  </si>
  <si>
    <t>400V</t>
  </si>
  <si>
    <t>in the</t>
  </si>
  <si>
    <t>tunnel</t>
  </si>
  <si>
    <t>Location</t>
  </si>
  <si>
    <t>kW</t>
  </si>
  <si>
    <t>RxIn^2</t>
  </si>
  <si>
    <t>2.2x1.64x2.2</t>
  </si>
  <si>
    <t>BB4</t>
  </si>
  <si>
    <t>± 500</t>
  </si>
  <si>
    <t>± 400</t>
  </si>
  <si>
    <t>DCCT</t>
  </si>
  <si>
    <t>Inom</t>
  </si>
  <si>
    <t>max</t>
  </si>
  <si>
    <t>Conv.</t>
  </si>
  <si>
    <t>R</t>
  </si>
  <si>
    <t>L</t>
  </si>
  <si>
    <t>2x18kV</t>
  </si>
  <si>
    <t>MBG</t>
  </si>
  <si>
    <t>QTG</t>
  </si>
  <si>
    <t>QTS12</t>
  </si>
  <si>
    <t>QTS</t>
  </si>
  <si>
    <t>2.21x1.64x2.65</t>
  </si>
  <si>
    <t>R33S</t>
  </si>
  <si>
    <t>R121*</t>
  </si>
  <si>
    <t>R34XS</t>
  </si>
  <si>
    <t xml:space="preserve">I AC peak </t>
  </si>
  <si>
    <t>Installed</t>
  </si>
  <si>
    <t>of</t>
  </si>
  <si>
    <t>(DCCT x</t>
  </si>
  <si>
    <t>for I max</t>
  </si>
  <si>
    <t>Power</t>
  </si>
  <si>
    <t>lxdxh</t>
  </si>
  <si>
    <t>Magnets</t>
  </si>
  <si>
    <t>kVA</t>
  </si>
  <si>
    <t>(or DCCT)</t>
  </si>
  <si>
    <t>peak</t>
  </si>
  <si>
    <t>3/4/500</t>
  </si>
  <si>
    <t>BB4 18 kV en kVA</t>
  </si>
  <si>
    <t>BB4 400V en kVA</t>
  </si>
  <si>
    <t>Les  convertisseurs MB alimentés depuis BA4 ne sont pas pris en compte</t>
  </si>
  <si>
    <t>QTS10</t>
  </si>
  <si>
    <t>MBSG410010</t>
  </si>
  <si>
    <t>QTLD 410100</t>
  </si>
  <si>
    <t>MBG 410147</t>
  </si>
  <si>
    <t>QTGF 410200</t>
  </si>
  <si>
    <t>QTGD 410300</t>
  </si>
  <si>
    <t>QTGF 410400</t>
  </si>
  <si>
    <t>QTS 412400</t>
  </si>
  <si>
    <t>QTL 412300</t>
  </si>
  <si>
    <t>MDSH 412421</t>
  </si>
  <si>
    <t>MDSV 412419</t>
  </si>
  <si>
    <t>MDSH 412243</t>
  </si>
  <si>
    <t>MDSV 412153</t>
  </si>
  <si>
    <t>QTS 412200</t>
  </si>
  <si>
    <t>QTGD 412100</t>
  </si>
  <si>
    <t>QTGF 412000</t>
  </si>
  <si>
    <t>QTGD 411900</t>
  </si>
  <si>
    <t>QTGF 411800</t>
  </si>
  <si>
    <t>QTGD 411700</t>
  </si>
  <si>
    <t>t=1.7s</t>
  </si>
  <si>
    <t>0.55)</t>
  </si>
  <si>
    <t>name</t>
  </si>
  <si>
    <t>MDSV 4121</t>
  </si>
  <si>
    <t>MDSH 4122</t>
  </si>
  <si>
    <t>MDSV 4124</t>
  </si>
  <si>
    <t>MDSH 4124</t>
  </si>
  <si>
    <t>QTLD 4101</t>
  </si>
  <si>
    <t>QTGF 4102</t>
  </si>
  <si>
    <t>QTGD 4117</t>
  </si>
  <si>
    <t>QTGF 4118</t>
  </si>
  <si>
    <t>QTGD 4119</t>
  </si>
  <si>
    <t>QTGF 4120</t>
  </si>
  <si>
    <t>QTGD 4121</t>
  </si>
  <si>
    <t>MBSG 4100M</t>
  </si>
  <si>
    <t>MBG 4101M</t>
  </si>
  <si>
    <t>QTGD 4103M</t>
  </si>
  <si>
    <t>QTGF 4104M</t>
  </si>
  <si>
    <t>QTL 4123M</t>
  </si>
  <si>
    <t>SPBB4-R34XS</t>
  </si>
  <si>
    <t>RB10</t>
  </si>
  <si>
    <t>RB5</t>
  </si>
  <si>
    <t>RB7</t>
  </si>
  <si>
    <t>RB8</t>
  </si>
  <si>
    <t>CNGS  (450 geV)</t>
  </si>
  <si>
    <t>QTL 412204</t>
  </si>
  <si>
    <t>QTL 412404</t>
  </si>
  <si>
    <t>QTS 4122M</t>
  </si>
  <si>
    <t>QTS 4124M</t>
  </si>
  <si>
    <t>I AC</t>
  </si>
  <si>
    <t>rms</t>
  </si>
  <si>
    <t>SPBB4-RB9/O</t>
  </si>
  <si>
    <t>2xRA3/T</t>
  </si>
  <si>
    <t>RB2</t>
  </si>
  <si>
    <t>RB12</t>
  </si>
  <si>
    <t>RB9/O</t>
  </si>
  <si>
    <t>Date de la dernière mise à jour : 24/7/2003</t>
  </si>
  <si>
    <t>01 + 02</t>
  </si>
  <si>
    <t>Serial</t>
  </si>
  <si>
    <t>5*10-5</t>
  </si>
  <si>
    <t>Irms DC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</si>
</sst>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00"/>
  </numFmts>
  <fonts count="5">
    <font>
      <sz val="10"/>
      <name val="Arial"/>
      <family val="0"/>
    </font>
    <font>
      <sz val="8"/>
      <name val="Times New Roman"/>
      <family val="1"/>
    </font>
    <font>
      <sz val="8"/>
      <name val="Symbol"/>
      <family val="1"/>
    </font>
    <font>
      <b/>
      <sz val="8"/>
      <name val="Times New Roman"/>
      <family val="1"/>
    </font>
    <font>
      <b/>
      <sz val="2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8" fontId="1" fillId="0" borderId="2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48" fontId="1" fillId="2" borderId="2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" fontId="1" fillId="0" borderId="15" xfId="0" applyNumberFormat="1" applyFont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2" borderId="16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2" borderId="16" xfId="0" applyFont="1" applyFill="1" applyBorder="1" applyAlignment="1">
      <alignment horizontal="center"/>
    </xf>
    <xf numFmtId="48" fontId="1" fillId="0" borderId="16" xfId="0" applyNumberFormat="1" applyFont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0" fontId="1" fillId="3" borderId="28" xfId="0" applyFont="1" applyFill="1" applyBorder="1" applyAlignment="1">
      <alignment/>
    </xf>
    <xf numFmtId="0" fontId="1" fillId="6" borderId="2" xfId="0" applyFont="1" applyFill="1" applyBorder="1" applyAlignment="1">
      <alignment horizontal="center"/>
    </xf>
    <xf numFmtId="172" fontId="1" fillId="0" borderId="25" xfId="0" applyNumberFormat="1" applyFont="1" applyBorder="1" applyAlignment="1">
      <alignment/>
    </xf>
    <xf numFmtId="172" fontId="1" fillId="0" borderId="11" xfId="0" applyNumberFormat="1" applyFont="1" applyBorder="1" applyAlignment="1">
      <alignment horizontal="center"/>
    </xf>
    <xf numFmtId="172" fontId="1" fillId="0" borderId="6" xfId="0" applyNumberFormat="1" applyFont="1" applyBorder="1" applyAlignment="1">
      <alignment horizontal="center"/>
    </xf>
    <xf numFmtId="172" fontId="1" fillId="2" borderId="16" xfId="0" applyNumberFormat="1" applyFont="1" applyFill="1" applyBorder="1" applyAlignment="1">
      <alignment horizontal="center"/>
    </xf>
    <xf numFmtId="172" fontId="1" fillId="2" borderId="2" xfId="0" applyNumberFormat="1" applyFont="1" applyFill="1" applyBorder="1" applyAlignment="1">
      <alignment horizontal="center"/>
    </xf>
    <xf numFmtId="172" fontId="1" fillId="2" borderId="2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A14" sqref="A14"/>
    </sheetView>
  </sheetViews>
  <sheetFormatPr defaultColWidth="9.140625" defaultRowHeight="12.75"/>
  <cols>
    <col min="1" max="1" width="21.7109375" style="3" customWidth="1"/>
    <col min="2" max="2" width="12.57421875" style="0" customWidth="1"/>
    <col min="3" max="3" width="13.421875" style="0" customWidth="1"/>
    <col min="4" max="4" width="5.421875" style="0" customWidth="1"/>
    <col min="5" max="5" width="3.8515625" style="0" customWidth="1"/>
    <col min="6" max="6" width="5.140625" style="0" customWidth="1"/>
  </cols>
  <sheetData>
    <row r="1" ht="17.25" customHeight="1">
      <c r="A1" s="3" t="s">
        <v>0</v>
      </c>
    </row>
    <row r="2" spans="1:12" ht="12.75">
      <c r="A2" s="2">
        <v>1</v>
      </c>
      <c r="B2" t="s">
        <v>13</v>
      </c>
      <c r="C2" t="s">
        <v>13</v>
      </c>
      <c r="D2" t="s">
        <v>14</v>
      </c>
      <c r="E2">
        <v>1</v>
      </c>
      <c r="F2">
        <v>276</v>
      </c>
      <c r="G2">
        <v>390</v>
      </c>
      <c r="H2">
        <v>280</v>
      </c>
      <c r="I2">
        <v>350</v>
      </c>
      <c r="J2" s="1">
        <v>35895</v>
      </c>
      <c r="K2">
        <v>-360</v>
      </c>
      <c r="L2" t="s">
        <v>15</v>
      </c>
    </row>
    <row r="3" spans="1:12" ht="12.75">
      <c r="A3" s="2">
        <v>2</v>
      </c>
      <c r="B3" t="s">
        <v>16</v>
      </c>
      <c r="C3" t="s">
        <v>16</v>
      </c>
      <c r="D3" t="s">
        <v>14</v>
      </c>
      <c r="E3">
        <v>1</v>
      </c>
      <c r="F3">
        <v>276</v>
      </c>
      <c r="G3">
        <v>390</v>
      </c>
      <c r="H3">
        <v>340</v>
      </c>
      <c r="I3">
        <v>450</v>
      </c>
      <c r="J3" s="1">
        <v>35895</v>
      </c>
      <c r="K3">
        <v>-320</v>
      </c>
      <c r="L3" t="s">
        <v>15</v>
      </c>
    </row>
    <row r="4" spans="1:12" ht="12.75">
      <c r="A4" s="2">
        <v>3</v>
      </c>
      <c r="B4" t="s">
        <v>17</v>
      </c>
      <c r="C4" t="s">
        <v>17</v>
      </c>
      <c r="D4" t="s">
        <v>14</v>
      </c>
      <c r="E4">
        <v>1</v>
      </c>
      <c r="F4">
        <v>276</v>
      </c>
      <c r="G4">
        <v>390</v>
      </c>
      <c r="H4">
        <v>230</v>
      </c>
      <c r="I4">
        <v>300</v>
      </c>
      <c r="J4" s="1">
        <v>35895</v>
      </c>
      <c r="K4">
        <v>-280</v>
      </c>
      <c r="L4" t="s">
        <v>15</v>
      </c>
    </row>
    <row r="5" spans="1:12" ht="12.75">
      <c r="A5" s="2">
        <v>4</v>
      </c>
      <c r="B5" t="s">
        <v>18</v>
      </c>
      <c r="C5" t="s">
        <v>18</v>
      </c>
      <c r="D5" t="s">
        <v>14</v>
      </c>
      <c r="E5">
        <v>1</v>
      </c>
      <c r="F5">
        <v>276</v>
      </c>
      <c r="G5">
        <v>390</v>
      </c>
      <c r="H5">
        <v>315</v>
      </c>
      <c r="I5">
        <v>400</v>
      </c>
      <c r="J5" s="1">
        <v>35895</v>
      </c>
      <c r="K5">
        <v>-240</v>
      </c>
      <c r="L5" t="s">
        <v>15</v>
      </c>
    </row>
    <row r="6" spans="1:12" ht="12.75">
      <c r="A6" s="2">
        <v>5</v>
      </c>
      <c r="B6" t="s">
        <v>19</v>
      </c>
      <c r="C6" t="s">
        <v>19</v>
      </c>
      <c r="D6" t="s">
        <v>14</v>
      </c>
      <c r="E6">
        <v>1</v>
      </c>
      <c r="F6">
        <v>276</v>
      </c>
      <c r="G6">
        <v>390</v>
      </c>
      <c r="H6">
        <v>295</v>
      </c>
      <c r="I6">
        <v>400</v>
      </c>
      <c r="J6" s="1">
        <v>35895</v>
      </c>
      <c r="K6">
        <v>-200</v>
      </c>
      <c r="L6" t="s">
        <v>15</v>
      </c>
    </row>
    <row r="7" spans="1:12" ht="12.75">
      <c r="A7" s="2">
        <v>6</v>
      </c>
      <c r="B7" t="s">
        <v>20</v>
      </c>
      <c r="C7" t="s">
        <v>20</v>
      </c>
      <c r="D7" t="s">
        <v>14</v>
      </c>
      <c r="E7">
        <v>1</v>
      </c>
      <c r="F7">
        <v>276</v>
      </c>
      <c r="G7">
        <v>390</v>
      </c>
      <c r="H7">
        <v>225</v>
      </c>
      <c r="I7">
        <v>300</v>
      </c>
      <c r="J7" s="1">
        <v>35895</v>
      </c>
      <c r="K7">
        <v>-170</v>
      </c>
      <c r="L7" t="s">
        <v>15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36"/>
  <sheetViews>
    <sheetView tabSelected="1" zoomScale="75" zoomScaleNormal="75" workbookViewId="0" topLeftCell="A1">
      <selection activeCell="AE27" sqref="AE27"/>
    </sheetView>
  </sheetViews>
  <sheetFormatPr defaultColWidth="9.140625" defaultRowHeight="11.25" customHeight="1"/>
  <cols>
    <col min="1" max="1" width="11.28125" style="6" customWidth="1"/>
    <col min="2" max="2" width="12.00390625" style="6" customWidth="1"/>
    <col min="3" max="3" width="7.140625" style="6" customWidth="1"/>
    <col min="4" max="4" width="6.00390625" style="6" customWidth="1"/>
    <col min="5" max="5" width="7.00390625" style="6" customWidth="1"/>
    <col min="6" max="6" width="6.57421875" style="6" customWidth="1"/>
    <col min="7" max="7" width="5.57421875" style="6" customWidth="1"/>
    <col min="8" max="8" width="5.140625" style="6" customWidth="1"/>
    <col min="9" max="9" width="6.7109375" style="6" customWidth="1"/>
    <col min="10" max="10" width="7.00390625" style="6" customWidth="1"/>
    <col min="11" max="11" width="6.421875" style="6" customWidth="1"/>
    <col min="12" max="12" width="5.140625" style="6" customWidth="1"/>
    <col min="13" max="13" width="5.8515625" style="6" customWidth="1"/>
    <col min="14" max="14" width="6.421875" style="6" customWidth="1"/>
    <col min="15" max="15" width="6.28125" style="6" customWidth="1"/>
    <col min="16" max="16" width="4.8515625" style="11" customWidth="1"/>
    <col min="17" max="17" width="5.28125" style="6" customWidth="1"/>
    <col min="18" max="18" width="5.140625" style="6" customWidth="1"/>
    <col min="19" max="19" width="5.7109375" style="6" customWidth="1"/>
    <col min="20" max="20" width="6.140625" style="11" customWidth="1"/>
    <col min="21" max="21" width="8.140625" style="6" customWidth="1"/>
    <col min="22" max="22" width="6.140625" style="6" customWidth="1"/>
    <col min="23" max="23" width="5.7109375" style="6" customWidth="1"/>
    <col min="24" max="24" width="6.00390625" style="6" customWidth="1"/>
    <col min="25" max="26" width="5.421875" style="6" customWidth="1"/>
    <col min="27" max="27" width="8.57421875" style="6" customWidth="1"/>
    <col min="28" max="28" width="7.00390625" style="6" customWidth="1"/>
    <col min="29" max="29" width="6.421875" style="4" customWidth="1"/>
    <col min="30" max="30" width="12.421875" style="4" customWidth="1"/>
    <col min="31" max="31" width="6.421875" style="4" customWidth="1"/>
    <col min="32" max="16384" width="9.140625" style="4" customWidth="1"/>
  </cols>
  <sheetData>
    <row r="2" spans="1:28" ht="53.25" customHeight="1">
      <c r="A2" s="75" t="s">
        <v>163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</row>
    <row r="3" spans="1:28" ht="53.2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</row>
    <row r="4" spans="1:30" ht="11.25" customHeight="1" thickBot="1">
      <c r="A4" s="7"/>
      <c r="B4" s="7"/>
      <c r="C4" s="7" t="s">
        <v>175</v>
      </c>
      <c r="D4" s="7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</row>
    <row r="5" spans="1:31" ht="11.25" customHeight="1">
      <c r="A5" s="50" t="s">
        <v>1</v>
      </c>
      <c r="B5" s="13" t="s">
        <v>57</v>
      </c>
      <c r="C5" s="13" t="s">
        <v>43</v>
      </c>
      <c r="D5" s="13" t="s">
        <v>43</v>
      </c>
      <c r="E5" s="25" t="s">
        <v>45</v>
      </c>
      <c r="F5" s="13" t="s">
        <v>4</v>
      </c>
      <c r="G5" s="13" t="s">
        <v>6</v>
      </c>
      <c r="H5" s="13" t="s">
        <v>91</v>
      </c>
      <c r="I5" s="13" t="s">
        <v>59</v>
      </c>
      <c r="J5" s="13" t="s">
        <v>60</v>
      </c>
      <c r="K5" s="13" t="s">
        <v>83</v>
      </c>
      <c r="L5" s="13" t="s">
        <v>61</v>
      </c>
      <c r="M5" s="13" t="s">
        <v>62</v>
      </c>
      <c r="N5" s="13" t="s">
        <v>179</v>
      </c>
      <c r="O5" s="13" t="s">
        <v>62</v>
      </c>
      <c r="P5" s="14" t="s">
        <v>62</v>
      </c>
      <c r="Q5" s="13" t="s">
        <v>66</v>
      </c>
      <c r="R5" s="13" t="s">
        <v>66</v>
      </c>
      <c r="S5" s="13" t="s">
        <v>52</v>
      </c>
      <c r="T5" s="14" t="s">
        <v>48</v>
      </c>
      <c r="U5" s="78" t="s">
        <v>57</v>
      </c>
      <c r="V5" s="79"/>
      <c r="W5" s="13" t="s">
        <v>68</v>
      </c>
      <c r="X5" s="13" t="s">
        <v>77</v>
      </c>
      <c r="Y5" s="13" t="s">
        <v>49</v>
      </c>
      <c r="Z5" s="13" t="s">
        <v>50</v>
      </c>
      <c r="AA5" s="13" t="s">
        <v>105</v>
      </c>
      <c r="AB5" s="13" t="s">
        <v>106</v>
      </c>
      <c r="AC5" s="13" t="s">
        <v>78</v>
      </c>
      <c r="AD5" s="13" t="s">
        <v>69</v>
      </c>
      <c r="AE5" s="15" t="s">
        <v>168</v>
      </c>
    </row>
    <row r="6" spans="1:31" ht="11.25" customHeight="1">
      <c r="A6" s="52" t="s">
        <v>58</v>
      </c>
      <c r="B6" s="5" t="s">
        <v>141</v>
      </c>
      <c r="C6" s="5" t="s">
        <v>58</v>
      </c>
      <c r="D6" s="5" t="s">
        <v>44</v>
      </c>
      <c r="E6" s="5" t="s">
        <v>107</v>
      </c>
      <c r="F6" s="26" t="s">
        <v>1</v>
      </c>
      <c r="G6" s="5" t="s">
        <v>7</v>
      </c>
      <c r="H6" s="5" t="s">
        <v>92</v>
      </c>
      <c r="I6" s="5" t="s">
        <v>90</v>
      </c>
      <c r="J6" s="5"/>
      <c r="K6" s="5" t="s">
        <v>81</v>
      </c>
      <c r="L6" s="5" t="s">
        <v>12</v>
      </c>
      <c r="M6" s="5" t="s">
        <v>63</v>
      </c>
      <c r="N6" s="5" t="s">
        <v>108</v>
      </c>
      <c r="O6" s="5" t="s">
        <v>65</v>
      </c>
      <c r="P6" s="10" t="s">
        <v>94</v>
      </c>
      <c r="Q6" s="5" t="s">
        <v>94</v>
      </c>
      <c r="R6" s="5" t="s">
        <v>95</v>
      </c>
      <c r="S6" s="5" t="s">
        <v>139</v>
      </c>
      <c r="T6" s="10"/>
      <c r="U6" s="5" t="s">
        <v>67</v>
      </c>
      <c r="V6" s="5" t="s">
        <v>177</v>
      </c>
      <c r="W6" s="5"/>
      <c r="X6" s="5"/>
      <c r="Y6" s="5" t="s">
        <v>93</v>
      </c>
      <c r="Z6" s="5" t="s">
        <v>93</v>
      </c>
      <c r="AA6" s="5" t="s">
        <v>109</v>
      </c>
      <c r="AB6" s="26" t="s">
        <v>110</v>
      </c>
      <c r="AC6" s="5" t="s">
        <v>79</v>
      </c>
      <c r="AD6" s="5" t="s">
        <v>111</v>
      </c>
      <c r="AE6" s="16" t="s">
        <v>169</v>
      </c>
    </row>
    <row r="7" spans="1:31" ht="11.25" customHeight="1">
      <c r="A7" s="52" t="s">
        <v>2</v>
      </c>
      <c r="B7" s="5"/>
      <c r="C7" s="5" t="s">
        <v>46</v>
      </c>
      <c r="D7" s="5"/>
      <c r="E7" s="5" t="s">
        <v>112</v>
      </c>
      <c r="F7" s="26" t="s">
        <v>5</v>
      </c>
      <c r="G7" s="5"/>
      <c r="H7" s="5"/>
      <c r="I7" s="5"/>
      <c r="J7" s="5" t="s">
        <v>10</v>
      </c>
      <c r="K7" s="5" t="s">
        <v>82</v>
      </c>
      <c r="L7" s="5"/>
      <c r="M7" s="5" t="s">
        <v>64</v>
      </c>
      <c r="N7" s="5" t="s">
        <v>140</v>
      </c>
      <c r="O7" s="5"/>
      <c r="P7" s="10"/>
      <c r="Q7" s="5"/>
      <c r="R7" s="5"/>
      <c r="S7" s="5"/>
      <c r="T7" s="10"/>
      <c r="U7" s="5"/>
      <c r="V7" s="5" t="s">
        <v>45</v>
      </c>
      <c r="W7" s="5"/>
      <c r="X7" s="5"/>
      <c r="Y7" s="5"/>
      <c r="Z7" s="5"/>
      <c r="AA7" s="5" t="s">
        <v>57</v>
      </c>
      <c r="AB7" s="26" t="s">
        <v>113</v>
      </c>
      <c r="AC7" s="5" t="s">
        <v>85</v>
      </c>
      <c r="AD7" s="5"/>
      <c r="AE7" s="16">
        <v>0.55</v>
      </c>
    </row>
    <row r="8" spans="1:31" ht="11.25" customHeight="1" thickBot="1">
      <c r="A8" s="53"/>
      <c r="B8" s="27"/>
      <c r="C8" s="27"/>
      <c r="D8" s="28"/>
      <c r="E8" s="27" t="s">
        <v>3</v>
      </c>
      <c r="F8" s="27" t="s">
        <v>54</v>
      </c>
      <c r="G8" s="27" t="s">
        <v>8</v>
      </c>
      <c r="H8" s="27" t="s">
        <v>9</v>
      </c>
      <c r="I8" s="27" t="s">
        <v>9</v>
      </c>
      <c r="J8" s="27"/>
      <c r="K8" s="27" t="s">
        <v>11</v>
      </c>
      <c r="L8" s="27"/>
      <c r="M8" s="27" t="s">
        <v>56</v>
      </c>
      <c r="N8" s="27"/>
      <c r="O8" s="27" t="s">
        <v>47</v>
      </c>
      <c r="P8" s="29" t="s">
        <v>55</v>
      </c>
      <c r="Q8" s="27" t="s">
        <v>55</v>
      </c>
      <c r="R8" s="27" t="s">
        <v>51</v>
      </c>
      <c r="S8" s="27" t="s">
        <v>53</v>
      </c>
      <c r="T8" s="29" t="s">
        <v>53</v>
      </c>
      <c r="U8" s="27"/>
      <c r="V8" s="27"/>
      <c r="W8" s="27"/>
      <c r="X8" s="27"/>
      <c r="Y8" s="27"/>
      <c r="Z8" s="27"/>
      <c r="AA8" s="27" t="s">
        <v>114</v>
      </c>
      <c r="AB8" s="27" t="s">
        <v>115</v>
      </c>
      <c r="AC8" s="27" t="s">
        <v>84</v>
      </c>
      <c r="AD8" s="27"/>
      <c r="AE8" s="54"/>
    </row>
    <row r="9" spans="1:31" ht="11.25" customHeight="1" thickBot="1">
      <c r="A9" s="76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66"/>
    </row>
    <row r="10" spans="1:31" ht="11.25" customHeight="1">
      <c r="A10" s="51" t="s">
        <v>121</v>
      </c>
      <c r="B10" s="41" t="s">
        <v>153</v>
      </c>
      <c r="C10" s="62" t="s">
        <v>23</v>
      </c>
      <c r="D10" s="41" t="s">
        <v>23</v>
      </c>
      <c r="E10" s="41">
        <v>8</v>
      </c>
      <c r="F10" s="62">
        <v>6</v>
      </c>
      <c r="G10" s="62">
        <v>7.5</v>
      </c>
      <c r="H10" s="41">
        <v>3810</v>
      </c>
      <c r="I10" s="62">
        <v>4400</v>
      </c>
      <c r="J10" s="63" t="s">
        <v>21</v>
      </c>
      <c r="K10" s="41">
        <v>125</v>
      </c>
      <c r="L10" s="41" t="s">
        <v>87</v>
      </c>
      <c r="M10" s="41">
        <f>(150+ABS(K10))*2</f>
        <v>550</v>
      </c>
      <c r="N10" s="62">
        <f aca="true" t="shared" si="0" ref="N10:N15">I10*0.55</f>
        <v>2420</v>
      </c>
      <c r="O10" s="41">
        <v>2000</v>
      </c>
      <c r="P10" s="42">
        <f aca="true" t="shared" si="1" ref="P10:P15">(0.0175*(M10/O10))*1000</f>
        <v>4.812500000000001</v>
      </c>
      <c r="Q10" s="42">
        <f aca="true" t="shared" si="2" ref="Q10:Q15">(P10+(F10*E10))*1.1</f>
        <v>58.09375000000001</v>
      </c>
      <c r="R10" s="41">
        <f aca="true" t="shared" si="3" ref="R10:R15">G10*E10</f>
        <v>60</v>
      </c>
      <c r="S10" s="42">
        <f aca="true" t="shared" si="4" ref="S10:S15">(R10*(I10/1.7))/1000</f>
        <v>155.2941176470588</v>
      </c>
      <c r="T10" s="42">
        <f aca="true" t="shared" si="5" ref="T10:T15">((Q10/1000)*I10)+S10</f>
        <v>410.90661764705885</v>
      </c>
      <c r="U10" s="64" t="s">
        <v>103</v>
      </c>
      <c r="V10" s="71"/>
      <c r="W10" s="41" t="s">
        <v>74</v>
      </c>
      <c r="X10" s="41">
        <v>18000</v>
      </c>
      <c r="Y10" s="62">
        <v>510</v>
      </c>
      <c r="Z10" s="62">
        <v>6000</v>
      </c>
      <c r="AA10" s="42">
        <f>((Y10*0.9)+10)*Z10*0.816*1.02/18000</f>
        <v>130.11936</v>
      </c>
      <c r="AB10" s="42">
        <f>X10*AA10*(3^0.5)/1000</f>
        <v>4056.720166230218</v>
      </c>
      <c r="AC10" s="43">
        <f aca="true" t="shared" si="6" ref="AC10:AC15">((H10^2)*Q10)/1000000</f>
        <v>843.2946843750001</v>
      </c>
      <c r="AD10" s="41" t="s">
        <v>76</v>
      </c>
      <c r="AE10" s="65">
        <f>AA10*0.55</f>
        <v>71.56564800000001</v>
      </c>
    </row>
    <row r="11" spans="1:31" ht="11.25" customHeight="1">
      <c r="A11" s="46" t="s">
        <v>123</v>
      </c>
      <c r="B11" s="8" t="s">
        <v>154</v>
      </c>
      <c r="C11" s="20" t="s">
        <v>24</v>
      </c>
      <c r="D11" s="8" t="s">
        <v>97</v>
      </c>
      <c r="E11" s="8">
        <v>73</v>
      </c>
      <c r="F11" s="8">
        <v>4.88</v>
      </c>
      <c r="G11" s="8">
        <v>5.7</v>
      </c>
      <c r="H11" s="8">
        <v>5100</v>
      </c>
      <c r="I11" s="8">
        <v>5400</v>
      </c>
      <c r="J11" s="24" t="s">
        <v>178</v>
      </c>
      <c r="K11" s="8">
        <v>190</v>
      </c>
      <c r="L11" s="8" t="s">
        <v>22</v>
      </c>
      <c r="M11" s="8">
        <f>(210+ABS(K11))*2</f>
        <v>800</v>
      </c>
      <c r="N11" s="20">
        <f t="shared" si="0"/>
        <v>2970.0000000000005</v>
      </c>
      <c r="O11" s="8">
        <v>1500</v>
      </c>
      <c r="P11" s="12">
        <f t="shared" si="1"/>
        <v>9.333333333333334</v>
      </c>
      <c r="Q11" s="12">
        <f t="shared" si="2"/>
        <v>402.1306666666667</v>
      </c>
      <c r="R11" s="8">
        <f t="shared" si="3"/>
        <v>416.1</v>
      </c>
      <c r="S11" s="12">
        <f t="shared" si="4"/>
        <v>1321.7294117647061</v>
      </c>
      <c r="T11" s="12">
        <f t="shared" si="5"/>
        <v>3493.235011764706</v>
      </c>
      <c r="U11" s="22" t="s">
        <v>171</v>
      </c>
      <c r="V11" s="72" t="s">
        <v>176</v>
      </c>
      <c r="W11" s="8" t="s">
        <v>75</v>
      </c>
      <c r="X11" s="8" t="s">
        <v>96</v>
      </c>
      <c r="Y11" s="8">
        <v>3600</v>
      </c>
      <c r="Z11" s="8">
        <v>5400</v>
      </c>
      <c r="AA11" s="12">
        <f>((Y11*0.9)+10)*Z11*0.816*1.02/18000</f>
        <v>811.512</v>
      </c>
      <c r="AB11" s="12">
        <f>18000*AA11*(3^0.5)/1000</f>
        <v>25300.44026913302</v>
      </c>
      <c r="AC11" s="21">
        <f t="shared" si="6"/>
        <v>10459.41864</v>
      </c>
      <c r="AD11" s="8"/>
      <c r="AE11" s="65">
        <f>AA11*0.55</f>
        <v>446.3316</v>
      </c>
    </row>
    <row r="12" spans="1:31" ht="11.25" customHeight="1">
      <c r="A12" s="46" t="s">
        <v>132</v>
      </c>
      <c r="B12" s="8" t="s">
        <v>142</v>
      </c>
      <c r="C12" s="8" t="s">
        <v>27</v>
      </c>
      <c r="D12" s="8" t="s">
        <v>28</v>
      </c>
      <c r="E12" s="8">
        <v>1</v>
      </c>
      <c r="F12" s="8">
        <v>150</v>
      </c>
      <c r="G12" s="8">
        <v>109</v>
      </c>
      <c r="H12" s="20">
        <v>315</v>
      </c>
      <c r="I12" s="20">
        <v>400</v>
      </c>
      <c r="J12" s="9" t="s">
        <v>21</v>
      </c>
      <c r="K12" s="8">
        <v>780</v>
      </c>
      <c r="L12" s="8" t="s">
        <v>87</v>
      </c>
      <c r="M12" s="8">
        <f>(150+ABS(K12))*2</f>
        <v>1860</v>
      </c>
      <c r="N12" s="20">
        <f t="shared" si="0"/>
        <v>220.00000000000003</v>
      </c>
      <c r="O12" s="8">
        <v>240</v>
      </c>
      <c r="P12" s="12">
        <f t="shared" si="1"/>
        <v>135.62500000000003</v>
      </c>
      <c r="Q12" s="12">
        <f t="shared" si="2"/>
        <v>314.1875</v>
      </c>
      <c r="R12" s="8">
        <f t="shared" si="3"/>
        <v>109</v>
      </c>
      <c r="S12" s="12">
        <f t="shared" si="4"/>
        <v>25.647058823529413</v>
      </c>
      <c r="T12" s="12">
        <f t="shared" si="5"/>
        <v>151.3220588235294</v>
      </c>
      <c r="U12" s="39" t="s">
        <v>102</v>
      </c>
      <c r="V12" s="72"/>
      <c r="W12" s="8" t="s">
        <v>74</v>
      </c>
      <c r="X12" s="8">
        <v>400</v>
      </c>
      <c r="Y12" s="20">
        <v>262</v>
      </c>
      <c r="Z12" s="8" t="s">
        <v>89</v>
      </c>
      <c r="AA12" s="12">
        <f>((Y12*0.9)+10)*I12*0.816*1.02/380</f>
        <v>215.3518484210526</v>
      </c>
      <c r="AB12" s="12">
        <f>X12*AA12*(3^0.5)/1000</f>
        <v>149.20013718765384</v>
      </c>
      <c r="AC12" s="21">
        <f t="shared" si="6"/>
        <v>31.1752546875</v>
      </c>
      <c r="AD12" s="8" t="s">
        <v>101</v>
      </c>
      <c r="AE12" s="65">
        <f>AA12*0.55</f>
        <v>118.44351663157894</v>
      </c>
    </row>
    <row r="13" spans="1:31" ht="11.25" customHeight="1">
      <c r="A13" s="46" t="s">
        <v>131</v>
      </c>
      <c r="B13" s="8" t="s">
        <v>143</v>
      </c>
      <c r="C13" s="8" t="s">
        <v>25</v>
      </c>
      <c r="D13" s="8" t="s">
        <v>26</v>
      </c>
      <c r="E13" s="8">
        <v>1</v>
      </c>
      <c r="F13" s="8">
        <v>150</v>
      </c>
      <c r="G13" s="8">
        <v>109</v>
      </c>
      <c r="H13" s="20">
        <v>315</v>
      </c>
      <c r="I13" s="20">
        <v>400</v>
      </c>
      <c r="J13" s="9" t="s">
        <v>21</v>
      </c>
      <c r="K13" s="8">
        <v>810</v>
      </c>
      <c r="L13" s="8" t="s">
        <v>87</v>
      </c>
      <c r="M13" s="8">
        <f>(150+ABS(K13))*2</f>
        <v>1920</v>
      </c>
      <c r="N13" s="20">
        <f t="shared" si="0"/>
        <v>220.00000000000003</v>
      </c>
      <c r="O13" s="8">
        <v>240</v>
      </c>
      <c r="P13" s="12">
        <f t="shared" si="1"/>
        <v>140</v>
      </c>
      <c r="Q13" s="12">
        <f t="shared" si="2"/>
        <v>319</v>
      </c>
      <c r="R13" s="8">
        <f t="shared" si="3"/>
        <v>109</v>
      </c>
      <c r="S13" s="12">
        <f t="shared" si="4"/>
        <v>25.647058823529413</v>
      </c>
      <c r="T13" s="12">
        <f t="shared" si="5"/>
        <v>153.24705882352941</v>
      </c>
      <c r="U13" s="39" t="s">
        <v>102</v>
      </c>
      <c r="V13" s="72"/>
      <c r="W13" s="8" t="s">
        <v>74</v>
      </c>
      <c r="X13" s="8">
        <v>400</v>
      </c>
      <c r="Y13" s="20">
        <v>262</v>
      </c>
      <c r="Z13" s="8" t="s">
        <v>89</v>
      </c>
      <c r="AA13" s="12">
        <f>((Y13*0.9)+10)*I13*0.816*1.02/380</f>
        <v>215.3518484210526</v>
      </c>
      <c r="AB13" s="12">
        <f>X13*AA13*(3^0.5)/1000</f>
        <v>149.20013718765384</v>
      </c>
      <c r="AC13" s="21">
        <f t="shared" si="6"/>
        <v>31.652775</v>
      </c>
      <c r="AD13" s="8" t="s">
        <v>101</v>
      </c>
      <c r="AE13" s="65">
        <f>AA13*0.55</f>
        <v>118.44351663157894</v>
      </c>
    </row>
    <row r="14" spans="1:31" ht="11.25" customHeight="1">
      <c r="A14" s="46" t="s">
        <v>130</v>
      </c>
      <c r="B14" s="8" t="s">
        <v>144</v>
      </c>
      <c r="C14" s="8" t="s">
        <v>30</v>
      </c>
      <c r="D14" s="8" t="s">
        <v>28</v>
      </c>
      <c r="E14" s="8">
        <v>1</v>
      </c>
      <c r="F14" s="8">
        <v>150</v>
      </c>
      <c r="G14" s="8">
        <v>109</v>
      </c>
      <c r="H14" s="8">
        <v>315</v>
      </c>
      <c r="I14" s="8">
        <v>400</v>
      </c>
      <c r="J14" s="9" t="s">
        <v>21</v>
      </c>
      <c r="K14" s="8">
        <v>830</v>
      </c>
      <c r="L14" s="8" t="s">
        <v>87</v>
      </c>
      <c r="M14" s="8">
        <f>(150+ABS(K14))*2</f>
        <v>1960</v>
      </c>
      <c r="N14" s="20">
        <f t="shared" si="0"/>
        <v>220.00000000000003</v>
      </c>
      <c r="O14" s="8">
        <v>240</v>
      </c>
      <c r="P14" s="12">
        <f t="shared" si="1"/>
        <v>142.91666666666666</v>
      </c>
      <c r="Q14" s="12">
        <f t="shared" si="2"/>
        <v>322.2083333333333</v>
      </c>
      <c r="R14" s="8">
        <f t="shared" si="3"/>
        <v>109</v>
      </c>
      <c r="S14" s="12">
        <f t="shared" si="4"/>
        <v>25.647058823529413</v>
      </c>
      <c r="T14" s="12">
        <f t="shared" si="5"/>
        <v>154.53039215686275</v>
      </c>
      <c r="U14" s="39" t="s">
        <v>102</v>
      </c>
      <c r="V14" s="72"/>
      <c r="W14" s="8" t="s">
        <v>74</v>
      </c>
      <c r="X14" s="8">
        <v>400</v>
      </c>
      <c r="Y14" s="8">
        <v>262</v>
      </c>
      <c r="Z14" s="8" t="s">
        <v>89</v>
      </c>
      <c r="AA14" s="12">
        <f>((Y14*0.9)+10)*I14*0.816*1.02/380</f>
        <v>215.3518484210526</v>
      </c>
      <c r="AB14" s="12">
        <f>X14*AA14*(3^0.5)/1000</f>
        <v>149.20013718765384</v>
      </c>
      <c r="AC14" s="21">
        <f t="shared" si="6"/>
        <v>31.971121874999998</v>
      </c>
      <c r="AD14" s="8" t="s">
        <v>101</v>
      </c>
      <c r="AE14" s="65">
        <f>AA14*0.55</f>
        <v>118.44351663157894</v>
      </c>
    </row>
    <row r="15" spans="1:31" ht="11.25" customHeight="1">
      <c r="A15" s="46" t="s">
        <v>129</v>
      </c>
      <c r="B15" s="8" t="s">
        <v>145</v>
      </c>
      <c r="C15" s="8" t="s">
        <v>29</v>
      </c>
      <c r="D15" s="8" t="s">
        <v>26</v>
      </c>
      <c r="E15" s="8">
        <v>1</v>
      </c>
      <c r="F15" s="8">
        <v>150</v>
      </c>
      <c r="G15" s="8">
        <v>109</v>
      </c>
      <c r="H15" s="8">
        <v>315</v>
      </c>
      <c r="I15" s="8">
        <v>400</v>
      </c>
      <c r="J15" s="9" t="s">
        <v>21</v>
      </c>
      <c r="K15" s="8">
        <v>830</v>
      </c>
      <c r="L15" s="8" t="s">
        <v>87</v>
      </c>
      <c r="M15" s="8">
        <f>(150+ABS(K15))*2</f>
        <v>1960</v>
      </c>
      <c r="N15" s="20">
        <f t="shared" si="0"/>
        <v>220.00000000000003</v>
      </c>
      <c r="O15" s="8">
        <v>240</v>
      </c>
      <c r="P15" s="12">
        <f t="shared" si="1"/>
        <v>142.91666666666666</v>
      </c>
      <c r="Q15" s="12">
        <f t="shared" si="2"/>
        <v>322.2083333333333</v>
      </c>
      <c r="R15" s="8">
        <f t="shared" si="3"/>
        <v>109</v>
      </c>
      <c r="S15" s="12">
        <f t="shared" si="4"/>
        <v>25.647058823529413</v>
      </c>
      <c r="T15" s="12">
        <f t="shared" si="5"/>
        <v>154.53039215686275</v>
      </c>
      <c r="U15" s="39" t="s">
        <v>102</v>
      </c>
      <c r="V15" s="72"/>
      <c r="W15" s="8" t="s">
        <v>74</v>
      </c>
      <c r="X15" s="8">
        <v>400</v>
      </c>
      <c r="Y15" s="8">
        <v>262</v>
      </c>
      <c r="Z15" s="8" t="s">
        <v>89</v>
      </c>
      <c r="AA15" s="12">
        <f>((Y15*0.9)+10)*I15*0.816*1.02/380</f>
        <v>215.3518484210526</v>
      </c>
      <c r="AB15" s="12">
        <f>X15*AA15*(3^0.5)/1000</f>
        <v>149.20013718765384</v>
      </c>
      <c r="AC15" s="21">
        <f t="shared" si="6"/>
        <v>31.971121874999998</v>
      </c>
      <c r="AD15" s="8" t="s">
        <v>101</v>
      </c>
      <c r="AE15" s="65">
        <f>AA15*0.55</f>
        <v>118.44351663157894</v>
      </c>
    </row>
    <row r="16" spans="1:31" ht="2.25" customHeight="1">
      <c r="A16" s="46"/>
      <c r="B16" s="8"/>
      <c r="C16" s="8"/>
      <c r="D16" s="8"/>
      <c r="E16" s="8"/>
      <c r="F16" s="8"/>
      <c r="G16" s="8"/>
      <c r="H16" s="8"/>
      <c r="I16" s="8"/>
      <c r="J16" s="9"/>
      <c r="K16" s="8"/>
      <c r="L16" s="8"/>
      <c r="M16" s="8"/>
      <c r="N16" s="20"/>
      <c r="O16" s="8"/>
      <c r="P16" s="12"/>
      <c r="Q16" s="12"/>
      <c r="R16" s="8"/>
      <c r="S16" s="12"/>
      <c r="T16" s="12"/>
      <c r="U16" s="8"/>
      <c r="V16" s="72"/>
      <c r="W16" s="8"/>
      <c r="X16" s="8"/>
      <c r="Y16" s="8"/>
      <c r="Z16" s="8"/>
      <c r="AA16" s="12"/>
      <c r="AB16" s="12"/>
      <c r="AC16" s="21"/>
      <c r="AD16" s="8"/>
      <c r="AE16" s="47"/>
    </row>
    <row r="17" spans="1:31" ht="11.25" customHeight="1">
      <c r="A17" s="46" t="s">
        <v>122</v>
      </c>
      <c r="B17" s="8" t="s">
        <v>146</v>
      </c>
      <c r="C17" s="8" t="s">
        <v>31</v>
      </c>
      <c r="D17" s="8" t="s">
        <v>14</v>
      </c>
      <c r="E17" s="8">
        <v>1</v>
      </c>
      <c r="F17" s="8">
        <v>276</v>
      </c>
      <c r="G17" s="8">
        <v>390</v>
      </c>
      <c r="H17" s="8">
        <v>280</v>
      </c>
      <c r="I17" s="8">
        <v>400</v>
      </c>
      <c r="J17" s="9" t="s">
        <v>21</v>
      </c>
      <c r="K17" s="8">
        <v>155</v>
      </c>
      <c r="L17" s="8" t="s">
        <v>87</v>
      </c>
      <c r="M17" s="8">
        <f aca="true" t="shared" si="7" ref="M17:M28">(150+ABS(K17))*2</f>
        <v>610</v>
      </c>
      <c r="N17" s="20">
        <f aca="true" t="shared" si="8" ref="N17:N28">I17*0.55</f>
        <v>220.00000000000003</v>
      </c>
      <c r="O17" s="8">
        <v>240</v>
      </c>
      <c r="P17" s="12">
        <f aca="true" t="shared" si="9" ref="P17:P28">(0.0175*(M17/O17))*1000</f>
        <v>44.479166666666664</v>
      </c>
      <c r="Q17" s="12">
        <f aca="true" t="shared" si="10" ref="Q17:Q28">(P17+(F17*E17))*1.1</f>
        <v>352.5270833333334</v>
      </c>
      <c r="R17" s="8">
        <f aca="true" t="shared" si="11" ref="R17:R28">G17*E17</f>
        <v>390</v>
      </c>
      <c r="S17" s="12">
        <f aca="true" t="shared" si="12" ref="S17:S25">(R17*(I17/1.7))/1000</f>
        <v>91.76470588235296</v>
      </c>
      <c r="T17" s="12">
        <f aca="true" t="shared" si="13" ref="T17:T29">((Q17/1000)*I17)+S17</f>
        <v>232.7755392156863</v>
      </c>
      <c r="U17" s="40" t="s">
        <v>159</v>
      </c>
      <c r="V17" s="72"/>
      <c r="W17" s="8" t="s">
        <v>70</v>
      </c>
      <c r="X17" s="8">
        <v>400</v>
      </c>
      <c r="Y17" s="8">
        <v>250</v>
      </c>
      <c r="Z17" s="20">
        <v>360</v>
      </c>
      <c r="AA17" s="12">
        <f>((Y17*0.9)+10)*I17*0.816*1.02/380</f>
        <v>205.88968421052633</v>
      </c>
      <c r="AB17" s="12">
        <f aca="true" t="shared" si="14" ref="AB17:AB28">X17*AA17*(3^0.5)/1000</f>
        <v>142.6445575227773</v>
      </c>
      <c r="AC17" s="21">
        <f aca="true" t="shared" si="15" ref="AC17:AC28">((H17^2)*Q17)/1000000</f>
        <v>27.63812333333334</v>
      </c>
      <c r="AD17" s="8" t="s">
        <v>71</v>
      </c>
      <c r="AE17" s="65">
        <f aca="true" t="shared" si="16" ref="AE17:AE29">AA17*0.55</f>
        <v>113.23932631578948</v>
      </c>
    </row>
    <row r="18" spans="1:31" ht="11.25" customHeight="1">
      <c r="A18" s="46" t="s">
        <v>124</v>
      </c>
      <c r="B18" s="8" t="s">
        <v>147</v>
      </c>
      <c r="C18" s="8" t="s">
        <v>32</v>
      </c>
      <c r="D18" s="8" t="s">
        <v>98</v>
      </c>
      <c r="E18" s="8">
        <v>1</v>
      </c>
      <c r="F18" s="8">
        <v>56</v>
      </c>
      <c r="G18" s="8">
        <v>36</v>
      </c>
      <c r="H18" s="8">
        <v>420</v>
      </c>
      <c r="I18" s="8">
        <v>500</v>
      </c>
      <c r="J18" s="9" t="s">
        <v>21</v>
      </c>
      <c r="K18" s="8">
        <v>200</v>
      </c>
      <c r="L18" s="8" t="s">
        <v>87</v>
      </c>
      <c r="M18" s="8">
        <f t="shared" si="7"/>
        <v>700</v>
      </c>
      <c r="N18" s="20">
        <f t="shared" si="8"/>
        <v>275</v>
      </c>
      <c r="O18" s="8">
        <v>240</v>
      </c>
      <c r="P18" s="12">
        <f t="shared" si="9"/>
        <v>51.041666666666664</v>
      </c>
      <c r="Q18" s="12">
        <f t="shared" si="10"/>
        <v>117.74583333333334</v>
      </c>
      <c r="R18" s="8">
        <f t="shared" si="11"/>
        <v>36</v>
      </c>
      <c r="S18" s="12">
        <f t="shared" si="12"/>
        <v>10.588235294117647</v>
      </c>
      <c r="T18" s="12">
        <f t="shared" si="13"/>
        <v>69.46115196078432</v>
      </c>
      <c r="U18" s="40" t="s">
        <v>160</v>
      </c>
      <c r="V18" s="72">
        <v>1</v>
      </c>
      <c r="W18" s="8" t="s">
        <v>70</v>
      </c>
      <c r="X18" s="8">
        <v>400</v>
      </c>
      <c r="Y18" s="8">
        <v>225</v>
      </c>
      <c r="Z18" s="8">
        <v>600</v>
      </c>
      <c r="AA18" s="12">
        <f aca="true" t="shared" si="17" ref="AA18:AA23">((Y18*0.9)+10)*Z18*0.816*1.02/380</f>
        <v>279.26526315789476</v>
      </c>
      <c r="AB18" s="12">
        <f t="shared" si="14"/>
        <v>193.48064983142666</v>
      </c>
      <c r="AC18" s="21">
        <f t="shared" si="15"/>
        <v>20.770365</v>
      </c>
      <c r="AD18" s="8" t="s">
        <v>72</v>
      </c>
      <c r="AE18" s="65">
        <f t="shared" si="16"/>
        <v>153.59589473684213</v>
      </c>
    </row>
    <row r="19" spans="1:31" ht="11.25" customHeight="1">
      <c r="A19" s="46" t="s">
        <v>125</v>
      </c>
      <c r="B19" s="8" t="s">
        <v>155</v>
      </c>
      <c r="C19" s="20" t="s">
        <v>33</v>
      </c>
      <c r="D19" s="8" t="s">
        <v>98</v>
      </c>
      <c r="E19" s="8">
        <v>7</v>
      </c>
      <c r="F19" s="8">
        <v>56</v>
      </c>
      <c r="G19" s="8">
        <v>36</v>
      </c>
      <c r="H19" s="8">
        <v>400</v>
      </c>
      <c r="I19" s="20">
        <v>500</v>
      </c>
      <c r="J19" s="9" t="s">
        <v>21</v>
      </c>
      <c r="K19" s="8">
        <v>230</v>
      </c>
      <c r="L19" s="8" t="s">
        <v>87</v>
      </c>
      <c r="M19" s="8">
        <f t="shared" si="7"/>
        <v>760</v>
      </c>
      <c r="N19" s="20">
        <f t="shared" si="8"/>
        <v>275</v>
      </c>
      <c r="O19" s="8">
        <v>240</v>
      </c>
      <c r="P19" s="12">
        <f t="shared" si="9"/>
        <v>55.41666666666667</v>
      </c>
      <c r="Q19" s="12">
        <f t="shared" si="10"/>
        <v>492.1583333333334</v>
      </c>
      <c r="R19" s="8">
        <f t="shared" si="11"/>
        <v>252</v>
      </c>
      <c r="S19" s="12">
        <f t="shared" si="12"/>
        <v>74.11764705882352</v>
      </c>
      <c r="T19" s="21">
        <f t="shared" si="13"/>
        <v>320.19681372549024</v>
      </c>
      <c r="U19" s="40" t="s">
        <v>161</v>
      </c>
      <c r="V19" s="72">
        <v>1</v>
      </c>
      <c r="W19" s="8" t="s">
        <v>70</v>
      </c>
      <c r="X19" s="8">
        <v>400</v>
      </c>
      <c r="Y19" s="20">
        <v>350</v>
      </c>
      <c r="Z19" s="8">
        <v>600</v>
      </c>
      <c r="AA19" s="12">
        <f t="shared" si="17"/>
        <v>427.1115789473684</v>
      </c>
      <c r="AB19" s="12">
        <f t="shared" si="14"/>
        <v>295.9115820951231</v>
      </c>
      <c r="AC19" s="21">
        <f t="shared" si="15"/>
        <v>78.74533333333335</v>
      </c>
      <c r="AD19" s="8" t="s">
        <v>72</v>
      </c>
      <c r="AE19" s="65">
        <f t="shared" si="16"/>
        <v>234.91136842105263</v>
      </c>
    </row>
    <row r="20" spans="1:31" ht="11.25" customHeight="1">
      <c r="A20" s="46" t="s">
        <v>126</v>
      </c>
      <c r="B20" s="8" t="s">
        <v>156</v>
      </c>
      <c r="C20" s="20" t="s">
        <v>34</v>
      </c>
      <c r="D20" s="8" t="s">
        <v>98</v>
      </c>
      <c r="E20" s="8">
        <v>7</v>
      </c>
      <c r="F20" s="8">
        <v>56</v>
      </c>
      <c r="G20" s="8">
        <v>36</v>
      </c>
      <c r="H20" s="8">
        <v>380</v>
      </c>
      <c r="I20" s="8">
        <v>500</v>
      </c>
      <c r="J20" s="9" t="s">
        <v>21</v>
      </c>
      <c r="K20" s="8">
        <v>260</v>
      </c>
      <c r="L20" s="8" t="s">
        <v>87</v>
      </c>
      <c r="M20" s="8">
        <f t="shared" si="7"/>
        <v>820</v>
      </c>
      <c r="N20" s="20">
        <f t="shared" si="8"/>
        <v>275</v>
      </c>
      <c r="O20" s="8">
        <v>240</v>
      </c>
      <c r="P20" s="12">
        <f t="shared" si="9"/>
        <v>59.791666666666664</v>
      </c>
      <c r="Q20" s="12">
        <f t="shared" si="10"/>
        <v>496.9708333333334</v>
      </c>
      <c r="R20" s="8">
        <f t="shared" si="11"/>
        <v>252</v>
      </c>
      <c r="S20" s="12">
        <f t="shared" si="12"/>
        <v>74.11764705882352</v>
      </c>
      <c r="T20" s="21">
        <f t="shared" si="13"/>
        <v>322.60306372549024</v>
      </c>
      <c r="U20" s="40" t="s">
        <v>161</v>
      </c>
      <c r="V20" s="72">
        <v>3</v>
      </c>
      <c r="W20" s="8" t="s">
        <v>70</v>
      </c>
      <c r="X20" s="8">
        <v>400</v>
      </c>
      <c r="Y20" s="20">
        <v>350</v>
      </c>
      <c r="Z20" s="8">
        <v>600</v>
      </c>
      <c r="AA20" s="12">
        <f t="shared" si="17"/>
        <v>427.1115789473684</v>
      </c>
      <c r="AB20" s="12">
        <f t="shared" si="14"/>
        <v>295.9115820951231</v>
      </c>
      <c r="AC20" s="21">
        <f t="shared" si="15"/>
        <v>71.76258833333334</v>
      </c>
      <c r="AD20" s="8" t="s">
        <v>72</v>
      </c>
      <c r="AE20" s="65">
        <f t="shared" si="16"/>
        <v>234.91136842105263</v>
      </c>
    </row>
    <row r="21" spans="1:31" ht="11.25" customHeight="1">
      <c r="A21" s="46" t="s">
        <v>138</v>
      </c>
      <c r="B21" s="8" t="s">
        <v>148</v>
      </c>
      <c r="C21" s="8" t="s">
        <v>35</v>
      </c>
      <c r="D21" s="8" t="s">
        <v>98</v>
      </c>
      <c r="E21" s="8">
        <v>1</v>
      </c>
      <c r="F21" s="8">
        <v>56</v>
      </c>
      <c r="G21" s="8">
        <v>36</v>
      </c>
      <c r="H21" s="8">
        <v>380</v>
      </c>
      <c r="I21" s="8">
        <v>500</v>
      </c>
      <c r="J21" s="9" t="s">
        <v>21</v>
      </c>
      <c r="K21" s="8">
        <v>660</v>
      </c>
      <c r="L21" s="8" t="s">
        <v>87</v>
      </c>
      <c r="M21" s="8">
        <f t="shared" si="7"/>
        <v>1620</v>
      </c>
      <c r="N21" s="20">
        <f t="shared" si="8"/>
        <v>275</v>
      </c>
      <c r="O21" s="8">
        <v>240</v>
      </c>
      <c r="P21" s="12">
        <f t="shared" si="9"/>
        <v>118.12500000000001</v>
      </c>
      <c r="Q21" s="12">
        <f t="shared" si="10"/>
        <v>191.53750000000002</v>
      </c>
      <c r="R21" s="8">
        <f t="shared" si="11"/>
        <v>36</v>
      </c>
      <c r="S21" s="12">
        <f t="shared" si="12"/>
        <v>10.588235294117647</v>
      </c>
      <c r="T21" s="12">
        <f t="shared" si="13"/>
        <v>106.35698529411766</v>
      </c>
      <c r="U21" s="40" t="s">
        <v>162</v>
      </c>
      <c r="V21" s="72">
        <v>2</v>
      </c>
      <c r="W21" s="8" t="s">
        <v>70</v>
      </c>
      <c r="X21" s="8">
        <v>400</v>
      </c>
      <c r="Y21" s="8">
        <v>210</v>
      </c>
      <c r="Z21" s="8">
        <v>720</v>
      </c>
      <c r="AA21" s="12">
        <f t="shared" si="17"/>
        <v>313.82844631578945</v>
      </c>
      <c r="AB21" s="12">
        <f t="shared" si="14"/>
        <v>217.42672555173965</v>
      </c>
      <c r="AC21" s="21">
        <f t="shared" si="15"/>
        <v>27.658015000000002</v>
      </c>
      <c r="AD21" s="8" t="s">
        <v>72</v>
      </c>
      <c r="AE21" s="65">
        <f t="shared" si="16"/>
        <v>172.6056454736842</v>
      </c>
    </row>
    <row r="22" spans="1:31" ht="11.25" customHeight="1">
      <c r="A22" s="46" t="s">
        <v>137</v>
      </c>
      <c r="B22" s="8" t="s">
        <v>149</v>
      </c>
      <c r="C22" s="8" t="s">
        <v>36</v>
      </c>
      <c r="D22" s="8" t="s">
        <v>98</v>
      </c>
      <c r="E22" s="8">
        <v>1</v>
      </c>
      <c r="F22" s="8">
        <v>56</v>
      </c>
      <c r="G22" s="8">
        <v>36</v>
      </c>
      <c r="H22" s="8">
        <v>430</v>
      </c>
      <c r="I22" s="8">
        <v>500</v>
      </c>
      <c r="J22" s="9" t="s">
        <v>21</v>
      </c>
      <c r="K22" s="8">
        <v>685</v>
      </c>
      <c r="L22" s="8" t="s">
        <v>87</v>
      </c>
      <c r="M22" s="8">
        <f t="shared" si="7"/>
        <v>1670</v>
      </c>
      <c r="N22" s="20">
        <f t="shared" si="8"/>
        <v>275</v>
      </c>
      <c r="O22" s="8">
        <v>240</v>
      </c>
      <c r="P22" s="12">
        <f t="shared" si="9"/>
        <v>121.77083333333334</v>
      </c>
      <c r="Q22" s="12">
        <f t="shared" si="10"/>
        <v>195.54791666666668</v>
      </c>
      <c r="R22" s="8">
        <f t="shared" si="11"/>
        <v>36</v>
      </c>
      <c r="S22" s="12">
        <f t="shared" si="12"/>
        <v>10.588235294117647</v>
      </c>
      <c r="T22" s="12">
        <f t="shared" si="13"/>
        <v>108.36219362745099</v>
      </c>
      <c r="U22" s="40" t="s">
        <v>162</v>
      </c>
      <c r="V22" s="72">
        <v>3</v>
      </c>
      <c r="W22" s="8" t="s">
        <v>70</v>
      </c>
      <c r="X22" s="8">
        <v>400</v>
      </c>
      <c r="Y22" s="8">
        <v>210</v>
      </c>
      <c r="Z22" s="8">
        <v>720</v>
      </c>
      <c r="AA22" s="12">
        <f t="shared" si="17"/>
        <v>313.82844631578945</v>
      </c>
      <c r="AB22" s="12">
        <f t="shared" si="14"/>
        <v>217.42672555173965</v>
      </c>
      <c r="AC22" s="21">
        <f t="shared" si="15"/>
        <v>36.156809791666674</v>
      </c>
      <c r="AD22" s="8" t="s">
        <v>72</v>
      </c>
      <c r="AE22" s="65">
        <f t="shared" si="16"/>
        <v>172.6056454736842</v>
      </c>
    </row>
    <row r="23" spans="1:31" ht="11.25" customHeight="1">
      <c r="A23" s="46" t="s">
        <v>136</v>
      </c>
      <c r="B23" s="8" t="s">
        <v>150</v>
      </c>
      <c r="C23" s="8" t="s">
        <v>37</v>
      </c>
      <c r="D23" s="8" t="s">
        <v>98</v>
      </c>
      <c r="E23" s="8">
        <v>1</v>
      </c>
      <c r="F23" s="8">
        <v>56</v>
      </c>
      <c r="G23" s="8">
        <v>36</v>
      </c>
      <c r="H23" s="8">
        <v>420</v>
      </c>
      <c r="I23" s="8">
        <v>500</v>
      </c>
      <c r="J23" s="9" t="s">
        <v>21</v>
      </c>
      <c r="K23" s="8">
        <v>710</v>
      </c>
      <c r="L23" s="8" t="s">
        <v>87</v>
      </c>
      <c r="M23" s="8">
        <f t="shared" si="7"/>
        <v>1720</v>
      </c>
      <c r="N23" s="20">
        <f t="shared" si="8"/>
        <v>275</v>
      </c>
      <c r="O23" s="8">
        <v>240</v>
      </c>
      <c r="P23" s="12">
        <f t="shared" si="9"/>
        <v>125.41666666666667</v>
      </c>
      <c r="Q23" s="12">
        <f t="shared" si="10"/>
        <v>199.55833333333337</v>
      </c>
      <c r="R23" s="8">
        <f t="shared" si="11"/>
        <v>36</v>
      </c>
      <c r="S23" s="12">
        <f t="shared" si="12"/>
        <v>10.588235294117647</v>
      </c>
      <c r="T23" s="12">
        <f t="shared" si="13"/>
        <v>110.36740196078433</v>
      </c>
      <c r="U23" s="40" t="s">
        <v>162</v>
      </c>
      <c r="V23" s="72">
        <v>4</v>
      </c>
      <c r="W23" s="8" t="s">
        <v>70</v>
      </c>
      <c r="X23" s="8">
        <v>400</v>
      </c>
      <c r="Y23" s="8">
        <v>210</v>
      </c>
      <c r="Z23" s="8">
        <v>720</v>
      </c>
      <c r="AA23" s="12">
        <f t="shared" si="17"/>
        <v>313.82844631578945</v>
      </c>
      <c r="AB23" s="12">
        <f t="shared" si="14"/>
        <v>217.42672555173965</v>
      </c>
      <c r="AC23" s="21">
        <f t="shared" si="15"/>
        <v>35.202090000000005</v>
      </c>
      <c r="AD23" s="8" t="s">
        <v>72</v>
      </c>
      <c r="AE23" s="65">
        <f t="shared" si="16"/>
        <v>172.6056454736842</v>
      </c>
    </row>
    <row r="24" spans="1:31" ht="11.25" customHeight="1">
      <c r="A24" s="46" t="s">
        <v>135</v>
      </c>
      <c r="B24" s="8" t="s">
        <v>151</v>
      </c>
      <c r="C24" s="8" t="s">
        <v>38</v>
      </c>
      <c r="D24" s="8" t="s">
        <v>98</v>
      </c>
      <c r="E24" s="8">
        <v>1</v>
      </c>
      <c r="F24" s="8">
        <v>56</v>
      </c>
      <c r="G24" s="8">
        <v>36</v>
      </c>
      <c r="H24" s="8">
        <v>260</v>
      </c>
      <c r="I24" s="8">
        <v>500</v>
      </c>
      <c r="J24" s="9" t="s">
        <v>21</v>
      </c>
      <c r="K24" s="8">
        <v>735</v>
      </c>
      <c r="L24" s="8" t="s">
        <v>87</v>
      </c>
      <c r="M24" s="8">
        <f t="shared" si="7"/>
        <v>1770</v>
      </c>
      <c r="N24" s="20">
        <f t="shared" si="8"/>
        <v>275</v>
      </c>
      <c r="O24" s="8">
        <v>240</v>
      </c>
      <c r="P24" s="12">
        <f t="shared" si="9"/>
        <v>129.06250000000003</v>
      </c>
      <c r="Q24" s="12">
        <f t="shared" si="10"/>
        <v>203.56875000000005</v>
      </c>
      <c r="R24" s="8">
        <f t="shared" si="11"/>
        <v>36</v>
      </c>
      <c r="S24" s="12">
        <f t="shared" si="12"/>
        <v>10.588235294117647</v>
      </c>
      <c r="T24" s="12">
        <f t="shared" si="13"/>
        <v>112.37261029411768</v>
      </c>
      <c r="U24" s="40" t="s">
        <v>161</v>
      </c>
      <c r="V24" s="72">
        <v>2</v>
      </c>
      <c r="W24" s="8" t="s">
        <v>70</v>
      </c>
      <c r="X24" s="8">
        <v>400</v>
      </c>
      <c r="Y24" s="20">
        <v>350</v>
      </c>
      <c r="Z24" s="8">
        <v>600</v>
      </c>
      <c r="AA24" s="12">
        <f>((Y24*0.9)+10)*Z24*0.816*1.02/380</f>
        <v>427.1115789473684</v>
      </c>
      <c r="AB24" s="12">
        <f>X24*AA24*(3^0.5)/1000</f>
        <v>295.9115820951231</v>
      </c>
      <c r="AC24" s="21">
        <f>((H24^2)*Q24)/1000000</f>
        <v>13.761247500000003</v>
      </c>
      <c r="AD24" s="8" t="s">
        <v>72</v>
      </c>
      <c r="AE24" s="65">
        <f t="shared" si="16"/>
        <v>234.91136842105263</v>
      </c>
    </row>
    <row r="25" spans="1:31" ht="11.25" customHeight="1">
      <c r="A25" s="46" t="s">
        <v>134</v>
      </c>
      <c r="B25" s="8" t="s">
        <v>152</v>
      </c>
      <c r="C25" s="8" t="s">
        <v>39</v>
      </c>
      <c r="D25" s="8" t="s">
        <v>98</v>
      </c>
      <c r="E25" s="8">
        <v>1</v>
      </c>
      <c r="F25" s="8">
        <v>56</v>
      </c>
      <c r="G25" s="8">
        <v>36</v>
      </c>
      <c r="H25" s="8">
        <v>170</v>
      </c>
      <c r="I25" s="8">
        <v>300</v>
      </c>
      <c r="J25" s="9" t="s">
        <v>21</v>
      </c>
      <c r="K25" s="8">
        <v>760</v>
      </c>
      <c r="L25" s="8" t="s">
        <v>87</v>
      </c>
      <c r="M25" s="8">
        <f t="shared" si="7"/>
        <v>1820</v>
      </c>
      <c r="N25" s="20">
        <f t="shared" si="8"/>
        <v>165</v>
      </c>
      <c r="O25" s="8">
        <v>240</v>
      </c>
      <c r="P25" s="12">
        <f t="shared" si="9"/>
        <v>132.70833333333334</v>
      </c>
      <c r="Q25" s="12">
        <f t="shared" si="10"/>
        <v>207.57916666666668</v>
      </c>
      <c r="R25" s="8">
        <f t="shared" si="11"/>
        <v>36</v>
      </c>
      <c r="S25" s="12">
        <f t="shared" si="12"/>
        <v>6.352941176470588</v>
      </c>
      <c r="T25" s="12">
        <f t="shared" si="13"/>
        <v>68.62669117647059</v>
      </c>
      <c r="U25" s="40" t="s">
        <v>172</v>
      </c>
      <c r="V25" s="72">
        <v>18</v>
      </c>
      <c r="W25" s="8" t="s">
        <v>70</v>
      </c>
      <c r="X25" s="8">
        <v>400</v>
      </c>
      <c r="Y25" s="8">
        <v>200</v>
      </c>
      <c r="Z25" s="8">
        <v>300</v>
      </c>
      <c r="AA25" s="12">
        <f>((Y25*0.9)+10)*Z25*0.816*1.02/380</f>
        <v>124.848</v>
      </c>
      <c r="AB25" s="12">
        <f t="shared" si="14"/>
        <v>86.49723168934366</v>
      </c>
      <c r="AC25" s="21">
        <f t="shared" si="15"/>
        <v>5.999037916666667</v>
      </c>
      <c r="AD25" s="8" t="s">
        <v>73</v>
      </c>
      <c r="AE25" s="65">
        <f t="shared" si="16"/>
        <v>68.66640000000001</v>
      </c>
    </row>
    <row r="26" spans="1:31" ht="11.25" customHeight="1">
      <c r="A26" s="46" t="s">
        <v>133</v>
      </c>
      <c r="B26" s="8" t="s">
        <v>166</v>
      </c>
      <c r="C26" s="8" t="s">
        <v>120</v>
      </c>
      <c r="D26" s="8" t="s">
        <v>100</v>
      </c>
      <c r="E26" s="8">
        <v>1</v>
      </c>
      <c r="F26" s="8">
        <v>120</v>
      </c>
      <c r="G26" s="8">
        <v>198</v>
      </c>
      <c r="H26" s="8">
        <v>270</v>
      </c>
      <c r="I26" s="8">
        <v>400</v>
      </c>
      <c r="J26" s="9" t="s">
        <v>21</v>
      </c>
      <c r="K26" s="8">
        <v>790</v>
      </c>
      <c r="L26" s="8" t="s">
        <v>87</v>
      </c>
      <c r="M26" s="8">
        <f>(150+ABS(K26))*2</f>
        <v>1880</v>
      </c>
      <c r="N26" s="20">
        <f>I26*0.55</f>
        <v>220.00000000000003</v>
      </c>
      <c r="O26" s="8">
        <v>240</v>
      </c>
      <c r="P26" s="12">
        <f>(0.0175*(M26/O26))*1000</f>
        <v>137.08333333333334</v>
      </c>
      <c r="Q26" s="12">
        <f>(P26+(F27*E27)+(F26*E26))*1.1</f>
        <v>586.3916666666668</v>
      </c>
      <c r="R26" s="8">
        <f>(G27*E27)+(G26*E26)</f>
        <v>588</v>
      </c>
      <c r="S26" s="12">
        <f>(R26*(I26/1.7))/1000</f>
        <v>138.3529411764706</v>
      </c>
      <c r="T26" s="12">
        <f>((Q26/1000)*I26)+S26</f>
        <v>372.90960784313734</v>
      </c>
      <c r="U26" s="40" t="s">
        <v>173</v>
      </c>
      <c r="V26" s="72">
        <v>1</v>
      </c>
      <c r="W26" s="8" t="s">
        <v>70</v>
      </c>
      <c r="X26" s="8">
        <v>400</v>
      </c>
      <c r="Y26" s="8">
        <v>400</v>
      </c>
      <c r="Z26" s="20">
        <v>360</v>
      </c>
      <c r="AA26" s="12">
        <f>((Y26*0.9)+10)*I26*0.816*1.02/380</f>
        <v>324.16673684210525</v>
      </c>
      <c r="AB26" s="12">
        <f>X26*AA26*(3^0.5)/1000</f>
        <v>224.58930333373442</v>
      </c>
      <c r="AC26" s="21">
        <f>((H26^2)*Q26)/1000000</f>
        <v>42.74795250000001</v>
      </c>
      <c r="AD26" s="8" t="s">
        <v>71</v>
      </c>
      <c r="AE26" s="65">
        <f t="shared" si="16"/>
        <v>178.2917052631579</v>
      </c>
    </row>
    <row r="27" spans="1:31" ht="11.25" customHeight="1">
      <c r="A27" s="46" t="s">
        <v>164</v>
      </c>
      <c r="B27" s="44"/>
      <c r="C27" s="8" t="s">
        <v>40</v>
      </c>
      <c r="D27" s="8" t="s">
        <v>14</v>
      </c>
      <c r="E27" s="8">
        <v>1</v>
      </c>
      <c r="F27" s="8">
        <v>276</v>
      </c>
      <c r="G27" s="8">
        <v>390</v>
      </c>
      <c r="H27" s="44"/>
      <c r="I27" s="44"/>
      <c r="J27" s="44"/>
      <c r="K27" s="44"/>
      <c r="L27" s="44"/>
      <c r="M27" s="44"/>
      <c r="N27" s="44"/>
      <c r="O27" s="44"/>
      <c r="P27" s="44"/>
      <c r="Q27" s="12"/>
      <c r="R27" s="8"/>
      <c r="S27" s="44"/>
      <c r="T27" s="44"/>
      <c r="U27" s="44"/>
      <c r="V27" s="73"/>
      <c r="W27" s="44"/>
      <c r="X27" s="44"/>
      <c r="Y27" s="44"/>
      <c r="Z27" s="44"/>
      <c r="AA27" s="44"/>
      <c r="AB27" s="44"/>
      <c r="AC27" s="44"/>
      <c r="AD27" s="44"/>
      <c r="AE27" s="65"/>
    </row>
    <row r="28" spans="1:31" ht="11.25" customHeight="1">
      <c r="A28" s="46" t="s">
        <v>128</v>
      </c>
      <c r="B28" s="8" t="s">
        <v>157</v>
      </c>
      <c r="C28" s="8" t="s">
        <v>41</v>
      </c>
      <c r="D28" s="8" t="s">
        <v>14</v>
      </c>
      <c r="E28" s="8">
        <v>3</v>
      </c>
      <c r="F28" s="8">
        <v>276</v>
      </c>
      <c r="G28" s="8">
        <v>390</v>
      </c>
      <c r="H28" s="8">
        <v>280</v>
      </c>
      <c r="I28" s="8">
        <v>400</v>
      </c>
      <c r="J28" s="9" t="s">
        <v>21</v>
      </c>
      <c r="K28" s="8">
        <v>810</v>
      </c>
      <c r="L28" s="8" t="s">
        <v>87</v>
      </c>
      <c r="M28" s="8">
        <f t="shared" si="7"/>
        <v>1920</v>
      </c>
      <c r="N28" s="20">
        <f t="shared" si="8"/>
        <v>220.00000000000003</v>
      </c>
      <c r="O28" s="8">
        <v>240</v>
      </c>
      <c r="P28" s="12">
        <f t="shared" si="9"/>
        <v>140</v>
      </c>
      <c r="Q28" s="12">
        <f t="shared" si="10"/>
        <v>1064.8000000000002</v>
      </c>
      <c r="R28" s="8">
        <f t="shared" si="11"/>
        <v>1170</v>
      </c>
      <c r="S28" s="12">
        <f>(R28*(I28/1.7))/1000</f>
        <v>275.29411764705884</v>
      </c>
      <c r="T28" s="21">
        <f t="shared" si="13"/>
        <v>701.2141176470589</v>
      </c>
      <c r="U28" s="67" t="s">
        <v>174</v>
      </c>
      <c r="V28" s="72">
        <v>1</v>
      </c>
      <c r="W28" s="8" t="s">
        <v>70</v>
      </c>
      <c r="X28" s="8">
        <v>400</v>
      </c>
      <c r="Y28" s="8">
        <v>700</v>
      </c>
      <c r="Z28" s="8">
        <v>360</v>
      </c>
      <c r="AA28" s="12">
        <f>((Y28*0.9)+10)*I28*0.816*1.02/380</f>
        <v>560.7208421052632</v>
      </c>
      <c r="AB28" s="12">
        <f t="shared" si="14"/>
        <v>388.47879495564877</v>
      </c>
      <c r="AC28" s="21">
        <f t="shared" si="15"/>
        <v>83.48032000000002</v>
      </c>
      <c r="AD28" s="8" t="s">
        <v>72</v>
      </c>
      <c r="AE28" s="65">
        <f t="shared" si="16"/>
        <v>308.39646315789474</v>
      </c>
    </row>
    <row r="29" spans="1:31" ht="11.25" customHeight="1">
      <c r="A29" s="46" t="s">
        <v>127</v>
      </c>
      <c r="B29" s="8" t="s">
        <v>167</v>
      </c>
      <c r="C29" s="8" t="s">
        <v>99</v>
      </c>
      <c r="D29" s="8" t="s">
        <v>100</v>
      </c>
      <c r="E29" s="8">
        <v>1</v>
      </c>
      <c r="F29" s="8">
        <v>120</v>
      </c>
      <c r="G29" s="8">
        <v>198</v>
      </c>
      <c r="H29" s="8">
        <v>420</v>
      </c>
      <c r="I29" s="8">
        <v>500</v>
      </c>
      <c r="J29" s="9" t="s">
        <v>21</v>
      </c>
      <c r="K29" s="8">
        <v>820</v>
      </c>
      <c r="L29" s="8" t="s">
        <v>87</v>
      </c>
      <c r="M29" s="8">
        <f>(150+ABS(K29))*2</f>
        <v>1940</v>
      </c>
      <c r="N29" s="20">
        <f>I29*0.55</f>
        <v>275</v>
      </c>
      <c r="O29" s="8">
        <v>240</v>
      </c>
      <c r="P29" s="12">
        <f>(0.0175*(M29/O29))*1000</f>
        <v>141.45833333333334</v>
      </c>
      <c r="Q29" s="12">
        <f>(P29+(F30*E30)+(F29*E29))*1.1</f>
        <v>894.8041666666668</v>
      </c>
      <c r="R29" s="8">
        <f>(G30*E30)+(G29*E29)</f>
        <v>978</v>
      </c>
      <c r="S29" s="12">
        <f>(R29*(I29/1.7))/1000</f>
        <v>287.6470588235294</v>
      </c>
      <c r="T29" s="12">
        <f t="shared" si="13"/>
        <v>735.0491421568628</v>
      </c>
      <c r="U29" s="39" t="s">
        <v>104</v>
      </c>
      <c r="V29" s="72"/>
      <c r="W29" s="8" t="s">
        <v>74</v>
      </c>
      <c r="X29" s="8">
        <v>400</v>
      </c>
      <c r="Y29" s="8">
        <v>710</v>
      </c>
      <c r="Z29" s="8">
        <v>500</v>
      </c>
      <c r="AA29" s="12">
        <f>((Y29*0.9)+10)*Z29*0.816*1.02/380</f>
        <v>710.7574736842106</v>
      </c>
      <c r="AB29" s="12">
        <f>X29*AA29*(3^0.5)/1000</f>
        <v>492.42722251214076</v>
      </c>
      <c r="AC29" s="21">
        <f>((H29^2)*Q29)/1000000</f>
        <v>157.84345500000003</v>
      </c>
      <c r="AD29" s="8" t="s">
        <v>86</v>
      </c>
      <c r="AE29" s="65">
        <f t="shared" si="16"/>
        <v>390.9166105263159</v>
      </c>
    </row>
    <row r="30" spans="1:31" ht="11.25" customHeight="1" thickBot="1">
      <c r="A30" s="55" t="s">
        <v>165</v>
      </c>
      <c r="B30" s="56"/>
      <c r="C30" s="57" t="s">
        <v>42</v>
      </c>
      <c r="D30" s="57" t="s">
        <v>14</v>
      </c>
      <c r="E30" s="57">
        <v>2</v>
      </c>
      <c r="F30" s="57">
        <v>276</v>
      </c>
      <c r="G30" s="57">
        <v>390</v>
      </c>
      <c r="H30" s="56"/>
      <c r="I30" s="56"/>
      <c r="J30" s="56"/>
      <c r="K30" s="56"/>
      <c r="L30" s="56"/>
      <c r="M30" s="56"/>
      <c r="N30" s="56"/>
      <c r="O30" s="56"/>
      <c r="P30" s="56"/>
      <c r="Q30" s="58"/>
      <c r="R30" s="57"/>
      <c r="S30" s="56"/>
      <c r="T30" s="56"/>
      <c r="U30" s="56"/>
      <c r="V30" s="68"/>
      <c r="W30" s="56"/>
      <c r="X30" s="56"/>
      <c r="Y30" s="56"/>
      <c r="Z30" s="56"/>
      <c r="AA30" s="56"/>
      <c r="AB30" s="56"/>
      <c r="AC30" s="56"/>
      <c r="AD30" s="56"/>
      <c r="AE30" s="59"/>
    </row>
    <row r="31" spans="1:31" ht="11.25" customHeight="1">
      <c r="A31" s="45"/>
      <c r="B31" s="60" t="s">
        <v>158</v>
      </c>
      <c r="C31" s="30"/>
      <c r="D31" s="30"/>
      <c r="E31" s="30"/>
      <c r="F31" s="30"/>
      <c r="G31" s="30"/>
      <c r="H31" s="30"/>
      <c r="I31" s="30" t="s">
        <v>116</v>
      </c>
      <c r="J31" s="30"/>
      <c r="K31" s="30"/>
      <c r="L31" s="30" t="s">
        <v>87</v>
      </c>
      <c r="M31" s="30"/>
      <c r="N31" s="30"/>
      <c r="O31" s="30"/>
      <c r="P31" s="31"/>
      <c r="Q31" s="30"/>
      <c r="R31" s="30"/>
      <c r="S31" s="30"/>
      <c r="T31" s="31"/>
      <c r="U31" s="30" t="s">
        <v>104</v>
      </c>
      <c r="V31" s="69"/>
      <c r="W31" s="30" t="s">
        <v>74</v>
      </c>
      <c r="X31" s="30" t="s">
        <v>80</v>
      </c>
      <c r="Y31" s="30">
        <v>710</v>
      </c>
      <c r="Z31" s="30" t="s">
        <v>88</v>
      </c>
      <c r="AA31" s="31"/>
      <c r="AB31" s="31"/>
      <c r="AC31" s="32">
        <f>((H31^2)*Q31)/1000000</f>
        <v>0</v>
      </c>
      <c r="AD31" s="30" t="s">
        <v>86</v>
      </c>
      <c r="AE31" s="61"/>
    </row>
    <row r="32" spans="1:31" ht="11.25" customHeight="1" thickBot="1">
      <c r="A32" s="48"/>
      <c r="B32" s="38" t="s">
        <v>170</v>
      </c>
      <c r="C32" s="17"/>
      <c r="D32" s="17"/>
      <c r="E32" s="17"/>
      <c r="F32" s="17"/>
      <c r="G32" s="17"/>
      <c r="H32" s="17"/>
      <c r="I32" s="17" t="s">
        <v>116</v>
      </c>
      <c r="J32" s="17"/>
      <c r="K32" s="17"/>
      <c r="L32" s="17" t="s">
        <v>87</v>
      </c>
      <c r="M32" s="17"/>
      <c r="N32" s="17"/>
      <c r="O32" s="17"/>
      <c r="P32" s="18"/>
      <c r="Q32" s="17"/>
      <c r="R32" s="17"/>
      <c r="S32" s="17"/>
      <c r="T32" s="18"/>
      <c r="U32" s="17" t="s">
        <v>174</v>
      </c>
      <c r="V32" s="70">
        <v>11</v>
      </c>
      <c r="W32" s="17" t="s">
        <v>70</v>
      </c>
      <c r="X32" s="17" t="s">
        <v>80</v>
      </c>
      <c r="Y32" s="17">
        <v>350</v>
      </c>
      <c r="Z32" s="17">
        <v>720</v>
      </c>
      <c r="AA32" s="18"/>
      <c r="AB32" s="18"/>
      <c r="AC32" s="23">
        <f>((H32^2)*Q32)/1000000</f>
        <v>0</v>
      </c>
      <c r="AD32" s="17" t="s">
        <v>72</v>
      </c>
      <c r="AE32" s="49"/>
    </row>
    <row r="33" spans="1:30" ht="11.25" customHeight="1" thickBot="1">
      <c r="A33" s="74"/>
      <c r="B33" s="74"/>
      <c r="C33" s="74"/>
      <c r="D33" s="74"/>
      <c r="E33" s="74"/>
      <c r="AC33" s="11">
        <f>SUM(AC10,AC12:AC29)</f>
        <v>1571.8302955208337</v>
      </c>
      <c r="AD33" s="6"/>
    </row>
    <row r="34" spans="1:30" ht="11.25" customHeight="1">
      <c r="A34" s="33"/>
      <c r="B34" s="33"/>
      <c r="C34" s="33"/>
      <c r="D34" s="33"/>
      <c r="E34" s="33"/>
      <c r="Z34" s="34" t="s">
        <v>117</v>
      </c>
      <c r="AA34" s="30"/>
      <c r="AB34" s="35">
        <f>SUM(AB10)</f>
        <v>4056.720166230218</v>
      </c>
      <c r="AC34" s="6"/>
      <c r="AD34" s="6"/>
    </row>
    <row r="35" spans="26:30" ht="11.25" customHeight="1" thickBot="1">
      <c r="Z35" s="36" t="s">
        <v>118</v>
      </c>
      <c r="AA35" s="17"/>
      <c r="AB35" s="37">
        <f>SUM(AB12:AB29)</f>
        <v>3664.9332315362753</v>
      </c>
      <c r="AC35" s="6"/>
      <c r="AD35" s="6"/>
    </row>
    <row r="36" spans="25:30" ht="11.25" customHeight="1">
      <c r="Y36" s="6" t="s">
        <v>119</v>
      </c>
      <c r="AC36" s="6"/>
      <c r="AD36" s="6"/>
    </row>
  </sheetData>
  <mergeCells count="4">
    <mergeCell ref="A33:E33"/>
    <mergeCell ref="A2:AB2"/>
    <mergeCell ref="A9:AD9"/>
    <mergeCell ref="U5:V5"/>
  </mergeCells>
  <printOptions/>
  <pageMargins left="0.1968503937007874" right="0.1968503937007874" top="0.3937007874015748" bottom="0.3937007874015748" header="0.31496062992125984" footer="0.31496062992125984"/>
  <pageSetup horizontalDpi="300" verticalDpi="300" orientation="landscape" pageOrder="overThenDown" paperSize="8" r:id="rId1"/>
  <headerFooter alignWithMargins="0">
    <oddHeader>&amp;LSL/PO&amp;RR. Genand</oddHeader>
    <oddFooter>&amp;L&amp;D&amp;R&amp;F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ceccone</dc:creator>
  <cp:keywords/>
  <dc:description/>
  <cp:lastModifiedBy>genand</cp:lastModifiedBy>
  <cp:lastPrinted>2003-06-10T11:46:09Z</cp:lastPrinted>
  <dcterms:created xsi:type="dcterms:W3CDTF">1998-02-13T14:45:43Z</dcterms:created>
  <dcterms:modified xsi:type="dcterms:W3CDTF">2004-10-22T12:39:38Z</dcterms:modified>
  <cp:category/>
  <cp:version/>
  <cp:contentType/>
  <cp:contentStatus/>
</cp:coreProperties>
</file>