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<sst xmlns="http://schemas.openxmlformats.org/spreadsheetml/2006/main" count="865" uniqueCount="368">
  <si>
    <t>Magnet</t>
  </si>
  <si>
    <t>(Installation)</t>
  </si>
  <si>
    <t>Magnets</t>
  </si>
  <si>
    <t>in Series</t>
  </si>
  <si>
    <t>R per</t>
  </si>
  <si>
    <t>(20º C)</t>
  </si>
  <si>
    <t>L per</t>
  </si>
  <si>
    <t>magnet</t>
  </si>
  <si>
    <t>[mH]</t>
  </si>
  <si>
    <t>[A]</t>
  </si>
  <si>
    <t>(+/-)</t>
  </si>
  <si>
    <t>[m]</t>
  </si>
  <si>
    <t>Loc.</t>
  </si>
  <si>
    <t>QTLD610100</t>
  </si>
  <si>
    <t>QTL</t>
  </si>
  <si>
    <t>BA7</t>
  </si>
  <si>
    <t>QTLF610200</t>
  </si>
  <si>
    <t>QTLD610300</t>
  </si>
  <si>
    <t>QTLF610400</t>
  </si>
  <si>
    <t>QTLD610500</t>
  </si>
  <si>
    <t>QTLF610600</t>
  </si>
  <si>
    <t>MBI</t>
  </si>
  <si>
    <t>MQIF</t>
  </si>
  <si>
    <t>MQI</t>
  </si>
  <si>
    <t>MQID</t>
  </si>
  <si>
    <t>BH1</t>
  </si>
  <si>
    <t>MBB</t>
  </si>
  <si>
    <t>BH2</t>
  </si>
  <si>
    <t>B280</t>
  </si>
  <si>
    <t>BH3B</t>
  </si>
  <si>
    <t>BH3A</t>
  </si>
  <si>
    <t>MSIB</t>
  </si>
  <si>
    <t>MSIA</t>
  </si>
  <si>
    <t>BV1</t>
  </si>
  <si>
    <t>B340</t>
  </si>
  <si>
    <t>BV2</t>
  </si>
  <si>
    <t>BV3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</si>
  <si>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</si>
  <si>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</si>
  <si>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</si>
  <si>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</si>
  <si>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</si>
  <si>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</si>
  <si>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</si>
  <si>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</si>
  <si>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</si>
  <si>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</si>
  <si>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</si>
  <si>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</si>
  <si>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</si>
  <si>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</si>
  <si>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</si>
  <si>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</si>
  <si>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1*10-4</t>
  </si>
  <si>
    <t>BHC</t>
  </si>
  <si>
    <t>BA4</t>
  </si>
  <si>
    <t>MQI1</t>
  </si>
  <si>
    <t>QTL4</t>
  </si>
  <si>
    <t>BH3</t>
  </si>
  <si>
    <t>BH4</t>
  </si>
  <si>
    <t>MQI5</t>
  </si>
  <si>
    <t>MQI6</t>
  </si>
  <si>
    <t>Q17</t>
  </si>
  <si>
    <t xml:space="preserve">Magnet </t>
  </si>
  <si>
    <t>Type</t>
  </si>
  <si>
    <t>Number</t>
  </si>
  <si>
    <t>(Optics)</t>
  </si>
  <si>
    <t>mm2</t>
  </si>
  <si>
    <t>U Max</t>
  </si>
  <si>
    <t>Umax</t>
  </si>
  <si>
    <t>Imax</t>
  </si>
  <si>
    <t>mH</t>
  </si>
  <si>
    <t>L di/dt</t>
  </si>
  <si>
    <t>V</t>
  </si>
  <si>
    <r>
      <t>[m</t>
    </r>
    <r>
      <rPr>
        <sz val="8"/>
        <rFont val="Symbol"/>
        <family val="1"/>
      </rPr>
      <t>W</t>
    </r>
    <r>
      <rPr>
        <sz val="8"/>
        <rFont val="Times New Roman"/>
        <family val="1"/>
      </rPr>
      <t>]</t>
    </r>
  </si>
  <si>
    <r>
      <t>m</t>
    </r>
    <r>
      <rPr>
        <sz val="8"/>
        <rFont val="Symbol"/>
        <family val="1"/>
      </rPr>
      <t>W</t>
    </r>
  </si>
  <si>
    <t>M</t>
  </si>
  <si>
    <t>Converter</t>
  </si>
  <si>
    <t>Name</t>
  </si>
  <si>
    <t>I max</t>
  </si>
  <si>
    <t>Precision</t>
  </si>
  <si>
    <t>P.C.</t>
  </si>
  <si>
    <t>Cable</t>
  </si>
  <si>
    <t>total</t>
  </si>
  <si>
    <t>length</t>
  </si>
  <si>
    <t>section</t>
  </si>
  <si>
    <t>Load</t>
  </si>
  <si>
    <t>type</t>
  </si>
  <si>
    <t>Origin</t>
  </si>
  <si>
    <t>Dimensions</t>
  </si>
  <si>
    <t>LEP</t>
  </si>
  <si>
    <t>3x.9x2</t>
  </si>
  <si>
    <t>3.6x.9x2.2</t>
  </si>
  <si>
    <t>2.8x.9x2.2</t>
  </si>
  <si>
    <t>Irms</t>
  </si>
  <si>
    <t>SPS</t>
  </si>
  <si>
    <t>QTLF 400400</t>
  </si>
  <si>
    <t>MBIAV 81107</t>
  </si>
  <si>
    <t>BH5B</t>
  </si>
  <si>
    <t>BH5A</t>
  </si>
  <si>
    <t>6.6x1.8x2.3</t>
  </si>
  <si>
    <t>5.1x1.8x2.2</t>
  </si>
  <si>
    <t>2.2x1.64x2.65</t>
  </si>
  <si>
    <t>1.66x1.64x2.65</t>
  </si>
  <si>
    <t>1.66x1.64x2.35</t>
  </si>
  <si>
    <t>lxdxh</t>
  </si>
  <si>
    <t>Source</t>
  </si>
  <si>
    <t>Flat top</t>
  </si>
  <si>
    <t>power</t>
  </si>
  <si>
    <t>2x18kV</t>
  </si>
  <si>
    <t>Inom</t>
  </si>
  <si>
    <t>max</t>
  </si>
  <si>
    <t>in the</t>
  </si>
  <si>
    <t>tunnel</t>
  </si>
  <si>
    <t>Location</t>
  </si>
  <si>
    <t>kW</t>
  </si>
  <si>
    <t>RxIn^2</t>
  </si>
  <si>
    <t>BA6</t>
  </si>
  <si>
    <t>Conv.</t>
  </si>
  <si>
    <t>of</t>
  </si>
  <si>
    <t>* Refroidissement à eau</t>
  </si>
  <si>
    <t>3.6x3.56x2.65</t>
  </si>
  <si>
    <t>4.2x4x2.8</t>
  </si>
  <si>
    <t>MBB 6104</t>
  </si>
  <si>
    <t>MDLH 6102</t>
  </si>
  <si>
    <t>MDLV 6103</t>
  </si>
  <si>
    <t>MDLH 6101</t>
  </si>
  <si>
    <t>MST 6177</t>
  </si>
  <si>
    <t>MSE 6183</t>
  </si>
  <si>
    <t>± 300</t>
  </si>
  <si>
    <t>2.22x1.64x2.65</t>
  </si>
  <si>
    <t>5.5x2.6x1.62</t>
  </si>
  <si>
    <t>MQIF 28400</t>
  </si>
  <si>
    <r>
      <t xml:space="preserve">TI 2 </t>
    </r>
    <r>
      <rPr>
        <sz val="20"/>
        <rFont val="Times New Roman"/>
        <family val="1"/>
      </rPr>
      <t>(LHC version 6)</t>
    </r>
  </si>
  <si>
    <r>
      <t xml:space="preserve">TI 8 </t>
    </r>
    <r>
      <rPr>
        <sz val="20"/>
        <rFont val="Times New Roman"/>
        <family val="1"/>
      </rPr>
      <t>(LHC version 6)</t>
    </r>
  </si>
  <si>
    <t>Les câbles des BA sont en cuivre, ceux des SR en aluminium</t>
  </si>
  <si>
    <t>DCCT</t>
  </si>
  <si>
    <t>R</t>
  </si>
  <si>
    <t>L</t>
  </si>
  <si>
    <t>3.6x1.8x2.3</t>
  </si>
  <si>
    <t>MBHC  400107</t>
  </si>
  <si>
    <t>MBHA 400309</t>
  </si>
  <si>
    <t>QTMD 400100</t>
  </si>
  <si>
    <t>MBI 81607</t>
  </si>
  <si>
    <t>MBIBV 87742</t>
  </si>
  <si>
    <t>CORV2</t>
  </si>
  <si>
    <t>MDS</t>
  </si>
  <si>
    <t>MCICH 80407</t>
  </si>
  <si>
    <t>SR2</t>
  </si>
  <si>
    <t>SR8</t>
  </si>
  <si>
    <t>Tous les convertisseurs sont pulsés</t>
  </si>
  <si>
    <t>MQID 80100</t>
  </si>
  <si>
    <t>MQIF 80200</t>
  </si>
  <si>
    <t>MQID 80300</t>
  </si>
  <si>
    <t>MQIF 87200</t>
  </si>
  <si>
    <t>MQID 87300</t>
  </si>
  <si>
    <t>MQIF 87404</t>
  </si>
  <si>
    <t>MQID 87500</t>
  </si>
  <si>
    <t>MQIF 87600</t>
  </si>
  <si>
    <t>MQID 87700</t>
  </si>
  <si>
    <t>MQIF 87800</t>
  </si>
  <si>
    <t>MQID 87900</t>
  </si>
  <si>
    <t>MQIF 88000</t>
  </si>
  <si>
    <t>MQID 88100</t>
  </si>
  <si>
    <t>±400</t>
  </si>
  <si>
    <t>2.2x1.5x2.65?</t>
  </si>
  <si>
    <t>R121*+2BP</t>
  </si>
  <si>
    <t>R39</t>
  </si>
  <si>
    <t>R40*</t>
  </si>
  <si>
    <t>R35</t>
  </si>
  <si>
    <t>R14</t>
  </si>
  <si>
    <t>R28</t>
  </si>
  <si>
    <t>R29S</t>
  </si>
  <si>
    <t>R32S</t>
  </si>
  <si>
    <t>R34XS</t>
  </si>
  <si>
    <t>R20</t>
  </si>
  <si>
    <t>R60*</t>
  </si>
  <si>
    <t>MQIF 87000</t>
  </si>
  <si>
    <t>MQID 87100</t>
  </si>
  <si>
    <t>MQIF 25800</t>
  </si>
  <si>
    <t>MQID 28500</t>
  </si>
  <si>
    <t>± 500</t>
  </si>
  <si>
    <t>2*10-5</t>
  </si>
  <si>
    <t>R21</t>
  </si>
  <si>
    <t>New1</t>
  </si>
  <si>
    <t>New2</t>
  </si>
  <si>
    <t>CORH3</t>
  </si>
  <si>
    <t>R35S</t>
  </si>
  <si>
    <t xml:space="preserve">I AC peak </t>
  </si>
  <si>
    <t>for I max</t>
  </si>
  <si>
    <t>(or DCCT)</t>
  </si>
  <si>
    <t>Installed</t>
  </si>
  <si>
    <t>Power</t>
  </si>
  <si>
    <t>peak</t>
  </si>
  <si>
    <t>kVA</t>
  </si>
  <si>
    <t>SR2 18 kV en kVA</t>
  </si>
  <si>
    <t>SR2 400V en kVA</t>
  </si>
  <si>
    <t>BA7 18 kV en kVA</t>
  </si>
  <si>
    <t>BA7 400V en kVA</t>
  </si>
  <si>
    <t>SR8 400V en kVA</t>
  </si>
  <si>
    <t>BA4 18 kV en kVA</t>
  </si>
  <si>
    <t>BA4 400V en kVA</t>
  </si>
  <si>
    <t>(DCCT x</t>
  </si>
  <si>
    <t>0.45)</t>
  </si>
  <si>
    <t>SR8 18 kV en kVA</t>
  </si>
  <si>
    <t>3/4/500</t>
  </si>
  <si>
    <t>4/5/600</t>
  </si>
  <si>
    <t>6/800</t>
  </si>
  <si>
    <t>6/1000</t>
  </si>
  <si>
    <t>New3</t>
  </si>
  <si>
    <t>MDSV 400293</t>
  </si>
  <si>
    <t>4x1.8x2.2?</t>
  </si>
  <si>
    <t>I AC</t>
  </si>
  <si>
    <t>rms</t>
  </si>
  <si>
    <t>QTR</t>
  </si>
  <si>
    <t>QTR2</t>
  </si>
  <si>
    <t>QTR3</t>
  </si>
  <si>
    <t>QTRF 400200</t>
  </si>
  <si>
    <t>QTRD 400300</t>
  </si>
  <si>
    <t>name</t>
  </si>
  <si>
    <t>MDSV 4002</t>
  </si>
  <si>
    <t>MBHA 4003M</t>
  </si>
  <si>
    <t>QTMD 4001</t>
  </si>
  <si>
    <t>QTRF 4002</t>
  </si>
  <si>
    <t>QTRD 4003</t>
  </si>
  <si>
    <t>QTLF 4004</t>
  </si>
  <si>
    <t>MQIF 8700M</t>
  </si>
  <si>
    <t>MQID 8710M</t>
  </si>
  <si>
    <t>MCICH 8040</t>
  </si>
  <si>
    <t>MBIAV 8110M</t>
  </si>
  <si>
    <t>MBIBV 8774M</t>
  </si>
  <si>
    <t>MQID 8010</t>
  </si>
  <si>
    <t>MQIF 8020</t>
  </si>
  <si>
    <t>MQID 8030</t>
  </si>
  <si>
    <t>MQIF 8720</t>
  </si>
  <si>
    <t>MQID 8730</t>
  </si>
  <si>
    <t>MQIF 8740M</t>
  </si>
  <si>
    <t>MQID 8750</t>
  </si>
  <si>
    <t>MQIF 8760</t>
  </si>
  <si>
    <t>MQID 8770</t>
  </si>
  <si>
    <t>MQIF 8780</t>
  </si>
  <si>
    <t>MQID 8790</t>
  </si>
  <si>
    <t>MQIF 8800</t>
  </si>
  <si>
    <t>MQID 8810</t>
  </si>
  <si>
    <t>MBI 2213M</t>
  </si>
  <si>
    <t>MQIF 2580M</t>
  </si>
  <si>
    <t>MQIF 2840M</t>
  </si>
  <si>
    <t>MQID 2850M</t>
  </si>
  <si>
    <t>MBB 2015M</t>
  </si>
  <si>
    <t>MBIBH 2931M</t>
  </si>
  <si>
    <t>MBIAV 2063M</t>
  </si>
  <si>
    <t>MBIAV 2685M</t>
  </si>
  <si>
    <t>MBIAV 2911M</t>
  </si>
  <si>
    <t>MQID 2010</t>
  </si>
  <si>
    <t>MQIF 2020</t>
  </si>
  <si>
    <t>MQID 2030</t>
  </si>
  <si>
    <t>MQIF 2040</t>
  </si>
  <si>
    <t>MQID 2050</t>
  </si>
  <si>
    <t>MQIF 2060</t>
  </si>
  <si>
    <t>MQIF 2860</t>
  </si>
  <si>
    <t>MQID 2870</t>
  </si>
  <si>
    <t>MQIF 2880</t>
  </si>
  <si>
    <t>MQID 2890</t>
  </si>
  <si>
    <t>MQIF 2900</t>
  </si>
  <si>
    <t>MQID 2910</t>
  </si>
  <si>
    <t>MQIF 2930</t>
  </si>
  <si>
    <t>MQIF 2940</t>
  </si>
  <si>
    <t>MQID 2950</t>
  </si>
  <si>
    <t>MBI 22134</t>
  </si>
  <si>
    <t>MBB 20150</t>
  </si>
  <si>
    <t>MBIBH 29314</t>
  </si>
  <si>
    <t>MSIA 29556</t>
  </si>
  <si>
    <t>MBIAV 20637</t>
  </si>
  <si>
    <t>MBIAV 26853</t>
  </si>
  <si>
    <t>MBIAV 29116</t>
  </si>
  <si>
    <t>MQID 20100</t>
  </si>
  <si>
    <t>MQIF 20200</t>
  </si>
  <si>
    <t>MQID 20300</t>
  </si>
  <si>
    <t>MQIF 20400</t>
  </si>
  <si>
    <t>MQID 20500</t>
  </si>
  <si>
    <t>MQIF 20600</t>
  </si>
  <si>
    <t>MQIF 28600</t>
  </si>
  <si>
    <t>MQID 28700</t>
  </si>
  <si>
    <t>MQIF 28800</t>
  </si>
  <si>
    <t>MQID 28900</t>
  </si>
  <si>
    <t>MQIF 29000</t>
  </si>
  <si>
    <t>MQID 29100</t>
  </si>
  <si>
    <t>MQIF 29400</t>
  </si>
  <si>
    <t>MQID 29500</t>
  </si>
  <si>
    <t>MDSH 6103</t>
  </si>
  <si>
    <t>QTLD 6101</t>
  </si>
  <si>
    <t>QTLF 6102</t>
  </si>
  <si>
    <t>QTLD 6103</t>
  </si>
  <si>
    <t>QTLF 6104</t>
  </si>
  <si>
    <t>QTLD 6105</t>
  </si>
  <si>
    <t>QTLF 6106</t>
  </si>
  <si>
    <t>MDAV 6100</t>
  </si>
  <si>
    <t>MDSH 610337</t>
  </si>
  <si>
    <t>QTLD 610100</t>
  </si>
  <si>
    <t>QTLF 610200</t>
  </si>
  <si>
    <t>QTLD 610300</t>
  </si>
  <si>
    <t>QTLF 610400</t>
  </si>
  <si>
    <t>QTLD 610500</t>
  </si>
  <si>
    <t>QTLF 610600</t>
  </si>
  <si>
    <t>MSE 6183M</t>
  </si>
  <si>
    <t>Precis.</t>
  </si>
  <si>
    <t>I rms</t>
  </si>
  <si>
    <t xml:space="preserve">**Les noms des 2 MBI en série sont MBI/M 8160M et MBI/S 8160M </t>
  </si>
  <si>
    <t>MBI 8160M**</t>
  </si>
  <si>
    <t>SPBA6-R34XS</t>
  </si>
  <si>
    <t>SPBA6-R60</t>
  </si>
  <si>
    <t>RA2</t>
  </si>
  <si>
    <t>RB4</t>
  </si>
  <si>
    <t>RB15</t>
  </si>
  <si>
    <t>RB8</t>
  </si>
  <si>
    <t>RB6</t>
  </si>
  <si>
    <t>RB2</t>
  </si>
  <si>
    <t>RB13</t>
  </si>
  <si>
    <t>RB10</t>
  </si>
  <si>
    <t>SPBA4-RB13</t>
  </si>
  <si>
    <t>4/500</t>
  </si>
  <si>
    <t>Pour le calcul du LdI/dt, t est de 2s pour TT40 et 5s pour les autres</t>
  </si>
  <si>
    <t>MSIB 29529</t>
  </si>
  <si>
    <t>MSIB 2952M</t>
  </si>
  <si>
    <t>MSIB 88134</t>
  </si>
  <si>
    <t>MSIB 8813M</t>
  </si>
  <si>
    <t>New</t>
  </si>
  <si>
    <t>± 650</t>
  </si>
  <si>
    <t>MBHC 4001M</t>
  </si>
  <si>
    <t>RA3/A*</t>
  </si>
  <si>
    <t>RB9/H</t>
  </si>
  <si>
    <t>RA1/S</t>
  </si>
  <si>
    <t>SPSR2-RA1/S</t>
  </si>
  <si>
    <t>RB9/O</t>
  </si>
  <si>
    <t>RA1/MG</t>
  </si>
  <si>
    <t>SPBA7-RB9/O</t>
  </si>
  <si>
    <t>2xRA3/T*</t>
  </si>
  <si>
    <t>SPBA4-RB9/O</t>
  </si>
  <si>
    <t>MQIF 29200</t>
  </si>
  <si>
    <t>MQID 29300</t>
  </si>
  <si>
    <t>SPSR8-RB9/O</t>
  </si>
  <si>
    <t>SPSR8-RB9/H</t>
  </si>
  <si>
    <t>SPSR2-RB9/H</t>
  </si>
  <si>
    <t>SPSR2-RB9/O</t>
  </si>
  <si>
    <t>MQIF 2920</t>
  </si>
  <si>
    <t>Zone LHC</t>
  </si>
  <si>
    <t>Zones de tests des convertisseurs</t>
  </si>
  <si>
    <t>MBIAH 87883</t>
  </si>
  <si>
    <t>01 &amp; 02</t>
  </si>
  <si>
    <t>Serial</t>
  </si>
  <si>
    <t>N21</t>
  </si>
  <si>
    <t>N08</t>
  </si>
  <si>
    <t>N23</t>
  </si>
  <si>
    <t>N02</t>
  </si>
  <si>
    <t>SPBA4-N02</t>
  </si>
  <si>
    <t>MBIAH 8788M</t>
  </si>
  <si>
    <t>Date de la dernière mise à jour : 30/07/2003</t>
  </si>
  <si>
    <t>Pour le calcul du LdI/dt, t est de 5s</t>
  </si>
  <si>
    <t>Les câbles DC des SR et BA6 sont en aluminium, ceux des autres BA sont en cuivre</t>
  </si>
  <si>
    <t>SPS chaine 2 fermée</t>
  </si>
  <si>
    <t>Zone PPG82704/87806 fermée</t>
  </si>
  <si>
    <t>A</t>
  </si>
  <si>
    <t>B</t>
  </si>
  <si>
    <t>Zones A et B fermées</t>
  </si>
  <si>
    <t>TT40</t>
  </si>
  <si>
    <t>TI8</t>
  </si>
  <si>
    <t>TI2</t>
  </si>
  <si>
    <t>TT60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</si>
</sst>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0"/>
  </numFmts>
  <fonts count="9">
    <font>
      <sz val="10"/>
      <name val="Arial"/>
      <family val="0"/>
    </font>
    <font>
      <sz val="8"/>
      <name val="Times New Roman"/>
      <family val="1"/>
    </font>
    <font>
      <sz val="8"/>
      <name val="Symbol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8" fontId="1" fillId="0" borderId="3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8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8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8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8" fontId="1" fillId="0" borderId="4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48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72" fontId="1" fillId="3" borderId="3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3" borderId="9" xfId="0" applyNumberFormat="1" applyFont="1" applyFill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3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J21" sqref="J21"/>
    </sheetView>
  </sheetViews>
  <sheetFormatPr defaultColWidth="9.140625" defaultRowHeight="12.75"/>
  <cols>
    <col min="1" max="1" width="21.7109375" style="3" customWidth="1"/>
    <col min="2" max="2" width="12.57421875" style="0" customWidth="1"/>
    <col min="3" max="3" width="13.421875" style="0" customWidth="1"/>
    <col min="4" max="4" width="5.421875" style="0" customWidth="1"/>
    <col min="5" max="5" width="3.8515625" style="0" customWidth="1"/>
    <col min="6" max="6" width="5.140625" style="0" customWidth="1"/>
  </cols>
  <sheetData>
    <row r="1" ht="17.25" customHeight="1"/>
    <row r="2" spans="1:10" ht="12.75">
      <c r="A2" s="2"/>
      <c r="J2" s="1"/>
    </row>
    <row r="3" spans="1:10" ht="12.75">
      <c r="A3" s="2"/>
      <c r="J3" s="1"/>
    </row>
    <row r="4" spans="1:10" ht="12.75">
      <c r="A4" s="2"/>
      <c r="J4" s="1"/>
    </row>
    <row r="5" spans="1:10" ht="12.75">
      <c r="A5" s="2"/>
      <c r="J5" s="1"/>
    </row>
    <row r="6" spans="1:10" ht="12.75">
      <c r="A6" s="2"/>
      <c r="J6" s="1"/>
    </row>
    <row r="7" spans="1:10" ht="12.75">
      <c r="A7" s="2"/>
      <c r="J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8"/>
  <sheetViews>
    <sheetView tabSelected="1" zoomScale="75" zoomScaleNormal="75" workbookViewId="0" topLeftCell="A1">
      <selection activeCell="A9" sqref="A9"/>
    </sheetView>
  </sheetViews>
  <sheetFormatPr defaultColWidth="9.140625" defaultRowHeight="11.25" customHeight="1"/>
  <cols>
    <col min="1" max="2" width="11.57421875" style="6" customWidth="1"/>
    <col min="3" max="3" width="10.28125" style="6" customWidth="1"/>
    <col min="4" max="4" width="6.00390625" style="6" customWidth="1"/>
    <col min="5" max="5" width="6.7109375" style="6" customWidth="1"/>
    <col min="6" max="6" width="6.00390625" style="6" customWidth="1"/>
    <col min="7" max="8" width="5.57421875" style="6" customWidth="1"/>
    <col min="9" max="9" width="7.140625" style="6" customWidth="1"/>
    <col min="10" max="10" width="5.421875" style="6" customWidth="1"/>
    <col min="11" max="11" width="6.421875" style="6" customWidth="1"/>
    <col min="12" max="12" width="4.8515625" style="6" customWidth="1"/>
    <col min="13" max="13" width="5.8515625" style="6" customWidth="1"/>
    <col min="14" max="14" width="6.57421875" style="6" customWidth="1"/>
    <col min="15" max="15" width="5.57421875" style="6" customWidth="1"/>
    <col min="16" max="16" width="4.8515625" style="15" customWidth="1"/>
    <col min="17" max="17" width="5.00390625" style="6" customWidth="1"/>
    <col min="18" max="18" width="4.7109375" style="6" customWidth="1"/>
    <col min="19" max="19" width="5.7109375" style="6" customWidth="1"/>
    <col min="20" max="20" width="5.57421875" style="15" customWidth="1"/>
    <col min="21" max="21" width="8.28125" style="6" customWidth="1"/>
    <col min="22" max="22" width="5.8515625" style="6" customWidth="1"/>
    <col min="23" max="23" width="5.421875" style="6" customWidth="1"/>
    <col min="24" max="24" width="6.140625" style="6" customWidth="1"/>
    <col min="25" max="25" width="5.421875" style="6" customWidth="1"/>
    <col min="26" max="26" width="6.00390625" style="6" customWidth="1"/>
    <col min="27" max="27" width="8.28125" style="6" customWidth="1"/>
    <col min="28" max="28" width="6.421875" style="6" customWidth="1"/>
    <col min="29" max="29" width="6.00390625" style="6" customWidth="1"/>
    <col min="30" max="30" width="11.57421875" style="6" customWidth="1"/>
    <col min="31" max="31" width="4.8515625" style="6" customWidth="1"/>
    <col min="32" max="16384" width="9.140625" style="4" customWidth="1"/>
  </cols>
  <sheetData>
    <row r="1" spans="1:31" s="34" customFormat="1" ht="48" customHeight="1">
      <c r="A1" s="132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="34" customFormat="1" ht="20.25" customHeight="1"/>
    <row r="3" spans="1:30" ht="14.25" customHeight="1" thickBot="1">
      <c r="A3" s="131" t="s">
        <v>356</v>
      </c>
      <c r="B3" s="131"/>
      <c r="C3" s="131"/>
      <c r="D3" s="131"/>
      <c r="E3" s="13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1" ht="11.25" customHeight="1">
      <c r="A4" s="17" t="s">
        <v>0</v>
      </c>
      <c r="B4" s="17" t="s">
        <v>77</v>
      </c>
      <c r="C4" s="17" t="s">
        <v>63</v>
      </c>
      <c r="D4" s="27" t="s">
        <v>63</v>
      </c>
      <c r="E4" s="17" t="s">
        <v>65</v>
      </c>
      <c r="F4" s="17" t="s">
        <v>4</v>
      </c>
      <c r="G4" s="17" t="s">
        <v>6</v>
      </c>
      <c r="H4" s="17" t="s">
        <v>110</v>
      </c>
      <c r="I4" s="17" t="s">
        <v>79</v>
      </c>
      <c r="J4" s="17" t="s">
        <v>305</v>
      </c>
      <c r="K4" s="17" t="s">
        <v>114</v>
      </c>
      <c r="L4" s="17" t="s">
        <v>81</v>
      </c>
      <c r="M4" s="18" t="s">
        <v>82</v>
      </c>
      <c r="N4" s="18" t="s">
        <v>94</v>
      </c>
      <c r="O4" s="17" t="s">
        <v>82</v>
      </c>
      <c r="P4" s="19" t="s">
        <v>82</v>
      </c>
      <c r="Q4" s="20" t="s">
        <v>86</v>
      </c>
      <c r="R4" s="17" t="s">
        <v>86</v>
      </c>
      <c r="S4" s="20" t="s">
        <v>72</v>
      </c>
      <c r="T4" s="19" t="s">
        <v>68</v>
      </c>
      <c r="U4" s="129" t="s">
        <v>77</v>
      </c>
      <c r="V4" s="130"/>
      <c r="W4" s="17" t="s">
        <v>88</v>
      </c>
      <c r="X4" s="17" t="s">
        <v>106</v>
      </c>
      <c r="Y4" s="20" t="s">
        <v>69</v>
      </c>
      <c r="Z4" s="17" t="s">
        <v>70</v>
      </c>
      <c r="AA4" s="17" t="s">
        <v>188</v>
      </c>
      <c r="AB4" s="17" t="s">
        <v>191</v>
      </c>
      <c r="AC4" s="17" t="s">
        <v>107</v>
      </c>
      <c r="AD4" s="20" t="s">
        <v>89</v>
      </c>
      <c r="AE4" s="80" t="s">
        <v>212</v>
      </c>
    </row>
    <row r="5" spans="1:31" ht="11.25" customHeight="1">
      <c r="A5" s="5" t="s">
        <v>78</v>
      </c>
      <c r="B5" s="5" t="s">
        <v>219</v>
      </c>
      <c r="C5" s="5" t="s">
        <v>78</v>
      </c>
      <c r="D5" s="28" t="s">
        <v>64</v>
      </c>
      <c r="E5" s="8" t="s">
        <v>119</v>
      </c>
      <c r="F5" s="5" t="s">
        <v>0</v>
      </c>
      <c r="G5" s="5" t="s">
        <v>7</v>
      </c>
      <c r="H5" s="5" t="s">
        <v>111</v>
      </c>
      <c r="I5" s="5" t="s">
        <v>136</v>
      </c>
      <c r="J5" s="5"/>
      <c r="K5" s="5" t="s">
        <v>112</v>
      </c>
      <c r="L5" s="5" t="s">
        <v>12</v>
      </c>
      <c r="M5" s="7" t="s">
        <v>83</v>
      </c>
      <c r="N5" s="7" t="s">
        <v>202</v>
      </c>
      <c r="O5" s="5" t="s">
        <v>85</v>
      </c>
      <c r="P5" s="13" t="s">
        <v>137</v>
      </c>
      <c r="Q5" s="8" t="s">
        <v>137</v>
      </c>
      <c r="R5" s="5" t="s">
        <v>138</v>
      </c>
      <c r="S5" s="8"/>
      <c r="T5" s="13"/>
      <c r="U5" s="28" t="s">
        <v>87</v>
      </c>
      <c r="V5" s="28" t="s">
        <v>349</v>
      </c>
      <c r="W5" s="5"/>
      <c r="X5" s="5"/>
      <c r="Y5" s="8" t="s">
        <v>118</v>
      </c>
      <c r="Z5" s="5" t="s">
        <v>118</v>
      </c>
      <c r="AA5" s="5" t="s">
        <v>189</v>
      </c>
      <c r="AB5" s="5" t="s">
        <v>192</v>
      </c>
      <c r="AC5" s="5" t="s">
        <v>108</v>
      </c>
      <c r="AD5" s="8" t="s">
        <v>105</v>
      </c>
      <c r="AE5" s="81" t="s">
        <v>213</v>
      </c>
    </row>
    <row r="6" spans="1:31" ht="11.25" customHeight="1">
      <c r="A6" s="5" t="s">
        <v>1</v>
      </c>
      <c r="B6" s="5"/>
      <c r="C6" s="5" t="s">
        <v>66</v>
      </c>
      <c r="D6" s="28"/>
      <c r="E6" s="5" t="s">
        <v>2</v>
      </c>
      <c r="F6" s="5" t="s">
        <v>5</v>
      </c>
      <c r="G6" s="5"/>
      <c r="H6" s="5"/>
      <c r="I6" s="5"/>
      <c r="J6" s="5" t="s">
        <v>10</v>
      </c>
      <c r="K6" s="5" t="s">
        <v>113</v>
      </c>
      <c r="L6" s="5"/>
      <c r="M6" s="7" t="s">
        <v>84</v>
      </c>
      <c r="N6" s="7" t="s">
        <v>203</v>
      </c>
      <c r="O6" s="5"/>
      <c r="P6" s="13"/>
      <c r="Q6" s="8"/>
      <c r="R6" s="5"/>
      <c r="S6" s="8"/>
      <c r="T6" s="13"/>
      <c r="U6" s="28"/>
      <c r="V6" s="28" t="s">
        <v>65</v>
      </c>
      <c r="W6" s="5"/>
      <c r="X6" s="5"/>
      <c r="Y6" s="8"/>
      <c r="Z6" s="5"/>
      <c r="AA6" s="5" t="s">
        <v>77</v>
      </c>
      <c r="AB6" s="5" t="s">
        <v>194</v>
      </c>
      <c r="AC6" s="5" t="s">
        <v>116</v>
      </c>
      <c r="AD6" s="8"/>
      <c r="AE6" s="81"/>
    </row>
    <row r="7" spans="1:31" ht="11.25" customHeight="1" thickBot="1">
      <c r="A7" s="71"/>
      <c r="B7" s="71"/>
      <c r="C7" s="71"/>
      <c r="D7" s="72"/>
      <c r="E7" s="71" t="s">
        <v>3</v>
      </c>
      <c r="F7" s="71" t="s">
        <v>74</v>
      </c>
      <c r="G7" s="71" t="s">
        <v>8</v>
      </c>
      <c r="H7" s="71" t="s">
        <v>9</v>
      </c>
      <c r="I7" s="71" t="s">
        <v>9</v>
      </c>
      <c r="J7" s="71"/>
      <c r="K7" s="71" t="s">
        <v>11</v>
      </c>
      <c r="L7" s="71"/>
      <c r="M7" s="73" t="s">
        <v>76</v>
      </c>
      <c r="N7" s="73"/>
      <c r="O7" s="71" t="s">
        <v>67</v>
      </c>
      <c r="P7" s="74" t="s">
        <v>75</v>
      </c>
      <c r="Q7" s="64" t="s">
        <v>75</v>
      </c>
      <c r="R7" s="71" t="s">
        <v>71</v>
      </c>
      <c r="S7" s="64" t="s">
        <v>73</v>
      </c>
      <c r="T7" s="74" t="s">
        <v>73</v>
      </c>
      <c r="U7" s="72"/>
      <c r="V7" s="72"/>
      <c r="W7" s="71"/>
      <c r="X7" s="71"/>
      <c r="Y7" s="64"/>
      <c r="Z7" s="71"/>
      <c r="AA7" s="71" t="s">
        <v>190</v>
      </c>
      <c r="AB7" s="71" t="s">
        <v>193</v>
      </c>
      <c r="AC7" s="71" t="s">
        <v>115</v>
      </c>
      <c r="AD7" s="64"/>
      <c r="AE7" s="82"/>
    </row>
    <row r="8" spans="1:31" s="26" customFormat="1" ht="11.25" customHeight="1">
      <c r="A8" s="133" t="s">
        <v>367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83"/>
    </row>
    <row r="9" spans="1:31" s="49" customFormat="1" ht="11.25" customHeight="1">
      <c r="A9" s="33" t="s">
        <v>123</v>
      </c>
      <c r="B9" s="33"/>
      <c r="C9" s="33"/>
      <c r="D9" s="33"/>
      <c r="E9" s="33"/>
      <c r="F9" s="33"/>
      <c r="G9" s="33"/>
      <c r="H9" s="33"/>
      <c r="I9" s="33"/>
      <c r="J9" s="60" t="s">
        <v>182</v>
      </c>
      <c r="K9" s="33"/>
      <c r="L9" s="33" t="s">
        <v>117</v>
      </c>
      <c r="M9" s="33"/>
      <c r="N9" s="33"/>
      <c r="O9" s="33"/>
      <c r="P9" s="33"/>
      <c r="Q9" s="33"/>
      <c r="R9" s="33"/>
      <c r="S9" s="33"/>
      <c r="T9" s="33"/>
      <c r="U9" s="33" t="s">
        <v>166</v>
      </c>
      <c r="V9" s="33"/>
      <c r="W9" s="33" t="s">
        <v>95</v>
      </c>
      <c r="X9" s="9">
        <v>18000</v>
      </c>
      <c r="Y9" s="33">
        <v>560</v>
      </c>
      <c r="Z9" s="33">
        <v>7500</v>
      </c>
      <c r="AA9" s="33"/>
      <c r="AB9" s="33"/>
      <c r="AC9" s="33"/>
      <c r="AD9" s="37"/>
      <c r="AE9" s="50"/>
    </row>
    <row r="10" spans="1:31" s="49" customFormat="1" ht="11.25" customHeight="1">
      <c r="A10" s="33" t="s">
        <v>296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 t="s">
        <v>117</v>
      </c>
      <c r="M10" s="33"/>
      <c r="N10" s="33"/>
      <c r="O10" s="33"/>
      <c r="P10" s="33"/>
      <c r="Q10" s="33"/>
      <c r="R10" s="33"/>
      <c r="S10" s="33"/>
      <c r="T10" s="33"/>
      <c r="U10" s="100" t="s">
        <v>172</v>
      </c>
      <c r="V10" s="33"/>
      <c r="W10" s="33" t="s">
        <v>95</v>
      </c>
      <c r="X10" s="9">
        <v>400</v>
      </c>
      <c r="Y10" s="33">
        <v>167</v>
      </c>
      <c r="Z10" s="9" t="s">
        <v>129</v>
      </c>
      <c r="AA10" s="9"/>
      <c r="AB10" s="9"/>
      <c r="AC10" s="33"/>
      <c r="AD10" s="37"/>
      <c r="AE10" s="50"/>
    </row>
    <row r="11" spans="1:31" s="49" customFormat="1" ht="11.25" customHeight="1">
      <c r="A11" s="33" t="s">
        <v>124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 t="s">
        <v>117</v>
      </c>
      <c r="M11" s="33"/>
      <c r="N11" s="33"/>
      <c r="O11" s="33"/>
      <c r="P11" s="33"/>
      <c r="Q11" s="33"/>
      <c r="R11" s="33"/>
      <c r="S11" s="33"/>
      <c r="T11" s="33"/>
      <c r="U11" s="100" t="s">
        <v>172</v>
      </c>
      <c r="V11" s="33"/>
      <c r="W11" s="33" t="s">
        <v>95</v>
      </c>
      <c r="X11" s="9">
        <v>400</v>
      </c>
      <c r="Y11" s="33">
        <v>167</v>
      </c>
      <c r="Z11" s="9" t="s">
        <v>129</v>
      </c>
      <c r="AA11" s="9"/>
      <c r="AB11" s="9"/>
      <c r="AC11" s="33"/>
      <c r="AD11" s="37"/>
      <c r="AE11" s="50"/>
    </row>
    <row r="12" spans="1:31" s="49" customFormat="1" ht="11.25" customHeight="1">
      <c r="A12" s="33" t="s">
        <v>125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 t="s">
        <v>117</v>
      </c>
      <c r="M12" s="33"/>
      <c r="N12" s="33"/>
      <c r="O12" s="33"/>
      <c r="P12" s="33"/>
      <c r="Q12" s="33"/>
      <c r="R12" s="33"/>
      <c r="S12" s="33"/>
      <c r="T12" s="33"/>
      <c r="U12" s="100" t="s">
        <v>172</v>
      </c>
      <c r="V12" s="33"/>
      <c r="W12" s="33" t="s">
        <v>95</v>
      </c>
      <c r="X12" s="9">
        <v>400</v>
      </c>
      <c r="Y12" s="33">
        <v>167</v>
      </c>
      <c r="Z12" s="9" t="s">
        <v>129</v>
      </c>
      <c r="AA12" s="9"/>
      <c r="AB12" s="9"/>
      <c r="AC12" s="33"/>
      <c r="AD12" s="37"/>
      <c r="AE12" s="50"/>
    </row>
    <row r="13" spans="1:31" s="49" customFormat="1" ht="11.25" customHeight="1">
      <c r="A13" s="33" t="s">
        <v>126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 t="s">
        <v>117</v>
      </c>
      <c r="M13" s="33"/>
      <c r="N13" s="33"/>
      <c r="O13" s="33"/>
      <c r="P13" s="33"/>
      <c r="Q13" s="33"/>
      <c r="R13" s="33"/>
      <c r="S13" s="33"/>
      <c r="T13" s="33"/>
      <c r="U13" s="100" t="s">
        <v>173</v>
      </c>
      <c r="V13" s="33"/>
      <c r="W13" s="33" t="s">
        <v>95</v>
      </c>
      <c r="X13" s="9">
        <v>400</v>
      </c>
      <c r="Y13" s="33">
        <v>447</v>
      </c>
      <c r="Z13" s="9" t="s">
        <v>129</v>
      </c>
      <c r="AA13" s="9"/>
      <c r="AB13" s="9"/>
      <c r="AC13" s="33"/>
      <c r="AD13" s="37"/>
      <c r="AE13" s="50"/>
    </row>
    <row r="14" spans="1:31" s="49" customFormat="1" ht="11.25" customHeight="1">
      <c r="A14" s="33" t="s">
        <v>127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 t="s">
        <v>117</v>
      </c>
      <c r="M14" s="33"/>
      <c r="N14" s="33"/>
      <c r="O14" s="33"/>
      <c r="P14" s="33"/>
      <c r="Q14" s="33"/>
      <c r="R14" s="33"/>
      <c r="S14" s="33"/>
      <c r="T14" s="33"/>
      <c r="U14" s="98" t="s">
        <v>167</v>
      </c>
      <c r="V14" s="33"/>
      <c r="W14" s="33" t="s">
        <v>95</v>
      </c>
      <c r="X14" s="9">
        <v>400</v>
      </c>
      <c r="Y14" s="33">
        <v>59</v>
      </c>
      <c r="Z14" s="33">
        <v>7500</v>
      </c>
      <c r="AA14" s="33"/>
      <c r="AB14" s="33"/>
      <c r="AC14" s="33"/>
      <c r="AD14" s="37"/>
      <c r="AE14" s="50"/>
    </row>
    <row r="15" spans="1:31" s="49" customFormat="1" ht="11.25" customHeight="1">
      <c r="A15" s="33" t="s">
        <v>128</v>
      </c>
      <c r="B15" s="33" t="s">
        <v>304</v>
      </c>
      <c r="C15" s="33"/>
      <c r="D15" s="33"/>
      <c r="E15" s="33"/>
      <c r="F15" s="33"/>
      <c r="G15" s="33"/>
      <c r="H15" s="33"/>
      <c r="I15" s="33"/>
      <c r="J15" s="33"/>
      <c r="K15" s="33"/>
      <c r="L15" s="33" t="s">
        <v>117</v>
      </c>
      <c r="M15" s="33"/>
      <c r="N15" s="33"/>
      <c r="O15" s="33"/>
      <c r="P15" s="33"/>
      <c r="Q15" s="33"/>
      <c r="R15" s="33"/>
      <c r="S15" s="33"/>
      <c r="T15" s="33"/>
      <c r="U15" s="98" t="s">
        <v>168</v>
      </c>
      <c r="V15" s="33"/>
      <c r="W15" s="33" t="s">
        <v>95</v>
      </c>
      <c r="X15" s="9">
        <v>18000</v>
      </c>
      <c r="Y15" s="33">
        <v>79</v>
      </c>
      <c r="Z15" s="76">
        <v>24000</v>
      </c>
      <c r="AA15" s="33"/>
      <c r="AB15" s="33"/>
      <c r="AC15" s="33"/>
      <c r="AD15" s="37"/>
      <c r="AE15" s="50"/>
    </row>
    <row r="16" spans="1:31" s="49" customFormat="1" ht="11.25" customHeight="1">
      <c r="A16" s="33" t="s">
        <v>297</v>
      </c>
      <c r="B16" s="33" t="s">
        <v>289</v>
      </c>
      <c r="C16" s="61" t="s">
        <v>186</v>
      </c>
      <c r="D16" s="57" t="s">
        <v>146</v>
      </c>
      <c r="E16" s="33">
        <v>1</v>
      </c>
      <c r="F16" s="33">
        <v>150</v>
      </c>
      <c r="G16" s="33">
        <v>109</v>
      </c>
      <c r="H16" s="33">
        <v>0</v>
      </c>
      <c r="I16" s="33">
        <v>400</v>
      </c>
      <c r="J16" s="10" t="s">
        <v>53</v>
      </c>
      <c r="K16" s="33">
        <v>-240</v>
      </c>
      <c r="L16" s="33" t="s">
        <v>117</v>
      </c>
      <c r="M16" s="9">
        <f aca="true" t="shared" si="0" ref="M16:M22">(230+ABS(K16))*2</f>
        <v>940</v>
      </c>
      <c r="N16" s="9">
        <f>I16*0.45</f>
        <v>180</v>
      </c>
      <c r="O16" s="9">
        <v>300</v>
      </c>
      <c r="P16" s="16">
        <f aca="true" t="shared" si="1" ref="P16:P22">(0.0282*(M16/O16))*1000</f>
        <v>88.36</v>
      </c>
      <c r="Q16" s="16">
        <f>(P16+(F16*E16))*1.1</f>
        <v>262.196</v>
      </c>
      <c r="R16" s="9">
        <f>G16*E16</f>
        <v>109</v>
      </c>
      <c r="S16" s="16">
        <f>(R16*(I16/5))/1000</f>
        <v>8.72</v>
      </c>
      <c r="T16" s="16">
        <f>((Q16/1000)*I16)+S16</f>
        <v>113.59840000000001</v>
      </c>
      <c r="U16" s="100" t="s">
        <v>187</v>
      </c>
      <c r="V16" s="33"/>
      <c r="W16" s="9" t="s">
        <v>95</v>
      </c>
      <c r="X16" s="9">
        <v>400</v>
      </c>
      <c r="Y16" s="9">
        <v>197</v>
      </c>
      <c r="Z16" s="9" t="s">
        <v>164</v>
      </c>
      <c r="AA16" s="63">
        <f>((Y16*0.9)+10)*I16*0.816*1.02/380</f>
        <v>164.0984589473684</v>
      </c>
      <c r="AB16" s="63">
        <f aca="true" t="shared" si="2" ref="AB16:AB22">X16*AA16*(3^0.5)/1000</f>
        <v>113.69074733623908</v>
      </c>
      <c r="AC16" s="38">
        <f aca="true" t="shared" si="3" ref="AC16:AC21">((H16^2)*Q16)/1000000</f>
        <v>0</v>
      </c>
      <c r="AD16" s="62" t="s">
        <v>103</v>
      </c>
      <c r="AE16" s="50"/>
    </row>
    <row r="17" spans="1:31" ht="11.25" customHeight="1">
      <c r="A17" s="9" t="s">
        <v>298</v>
      </c>
      <c r="B17" s="9" t="s">
        <v>290</v>
      </c>
      <c r="C17" s="12" t="s">
        <v>13</v>
      </c>
      <c r="D17" s="29" t="s">
        <v>14</v>
      </c>
      <c r="E17" s="9">
        <v>1</v>
      </c>
      <c r="F17" s="9">
        <v>276</v>
      </c>
      <c r="G17" s="9">
        <v>390</v>
      </c>
      <c r="H17" s="9">
        <v>310</v>
      </c>
      <c r="I17" s="33">
        <v>500</v>
      </c>
      <c r="J17" s="10" t="s">
        <v>53</v>
      </c>
      <c r="K17" s="9">
        <v>-360</v>
      </c>
      <c r="L17" s="9" t="s">
        <v>117</v>
      </c>
      <c r="M17" s="9">
        <f t="shared" si="0"/>
        <v>1180</v>
      </c>
      <c r="N17" s="9">
        <f aca="true" t="shared" si="4" ref="N17:N22">I17*0.45</f>
        <v>225</v>
      </c>
      <c r="O17" s="9">
        <v>400</v>
      </c>
      <c r="P17" s="16">
        <f t="shared" si="1"/>
        <v>83.19</v>
      </c>
      <c r="Q17" s="16">
        <f aca="true" t="shared" si="5" ref="Q17:Q22">(P17+(F17*E17))*1.1</f>
        <v>395.10900000000004</v>
      </c>
      <c r="R17" s="9">
        <f aca="true" t="shared" si="6" ref="R17:R22">G17*E17</f>
        <v>390</v>
      </c>
      <c r="S17" s="16">
        <f aca="true" t="shared" si="7" ref="S17:S22">(R17*(I17/5))/1000</f>
        <v>39</v>
      </c>
      <c r="T17" s="16">
        <f aca="true" t="shared" si="8" ref="T17:T22">((Q17/1000)*I17)+S17</f>
        <v>236.55450000000002</v>
      </c>
      <c r="U17" s="100" t="s">
        <v>170</v>
      </c>
      <c r="V17" s="33"/>
      <c r="W17" s="9" t="s">
        <v>95</v>
      </c>
      <c r="X17" s="9">
        <v>400</v>
      </c>
      <c r="Y17" s="9">
        <v>294</v>
      </c>
      <c r="Z17" s="9">
        <v>500</v>
      </c>
      <c r="AA17" s="63">
        <f aca="true" t="shared" si="9" ref="AA17:AA22">((Y17*0.9)+10)*Z17*0.816*1.02/380</f>
        <v>300.7303578947368</v>
      </c>
      <c r="AB17" s="63">
        <f t="shared" si="2"/>
        <v>208.35210370082254</v>
      </c>
      <c r="AC17" s="38">
        <f t="shared" si="3"/>
        <v>37.969974900000004</v>
      </c>
      <c r="AD17" s="62" t="s">
        <v>103</v>
      </c>
      <c r="AE17" s="21"/>
    </row>
    <row r="18" spans="1:31" ht="11.25" customHeight="1">
      <c r="A18" s="9" t="s">
        <v>299</v>
      </c>
      <c r="B18" s="9" t="s">
        <v>291</v>
      </c>
      <c r="C18" s="9" t="s">
        <v>16</v>
      </c>
      <c r="D18" s="30" t="s">
        <v>14</v>
      </c>
      <c r="E18" s="9">
        <v>1</v>
      </c>
      <c r="F18" s="9">
        <v>276</v>
      </c>
      <c r="G18" s="9">
        <v>390</v>
      </c>
      <c r="H18" s="9">
        <v>350</v>
      </c>
      <c r="I18" s="33">
        <v>500</v>
      </c>
      <c r="J18" s="10" t="s">
        <v>53</v>
      </c>
      <c r="K18" s="9">
        <v>-320</v>
      </c>
      <c r="L18" s="9" t="s">
        <v>117</v>
      </c>
      <c r="M18" s="9">
        <f t="shared" si="0"/>
        <v>1100</v>
      </c>
      <c r="N18" s="9">
        <f t="shared" si="4"/>
        <v>225</v>
      </c>
      <c r="O18" s="9">
        <v>400</v>
      </c>
      <c r="P18" s="16">
        <f t="shared" si="1"/>
        <v>77.55</v>
      </c>
      <c r="Q18" s="16">
        <f t="shared" si="5"/>
        <v>388.90500000000003</v>
      </c>
      <c r="R18" s="9">
        <f t="shared" si="6"/>
        <v>390</v>
      </c>
      <c r="S18" s="16">
        <f t="shared" si="7"/>
        <v>39</v>
      </c>
      <c r="T18" s="16">
        <f t="shared" si="8"/>
        <v>233.45250000000001</v>
      </c>
      <c r="U18" s="100" t="s">
        <v>170</v>
      </c>
      <c r="V18" s="33"/>
      <c r="W18" s="9" t="s">
        <v>95</v>
      </c>
      <c r="X18" s="9">
        <v>400</v>
      </c>
      <c r="Y18" s="9">
        <v>294</v>
      </c>
      <c r="Z18" s="33">
        <v>500</v>
      </c>
      <c r="AA18" s="63">
        <f t="shared" si="9"/>
        <v>300.7303578947368</v>
      </c>
      <c r="AB18" s="63">
        <f t="shared" si="2"/>
        <v>208.35210370082254</v>
      </c>
      <c r="AC18" s="38">
        <f t="shared" si="3"/>
        <v>47.6408625</v>
      </c>
      <c r="AD18" s="62" t="s">
        <v>103</v>
      </c>
      <c r="AE18" s="21"/>
    </row>
    <row r="19" spans="1:31" ht="11.25" customHeight="1">
      <c r="A19" s="9" t="s">
        <v>300</v>
      </c>
      <c r="B19" s="9" t="s">
        <v>292</v>
      </c>
      <c r="C19" s="9" t="s">
        <v>17</v>
      </c>
      <c r="D19" s="30" t="s">
        <v>14</v>
      </c>
      <c r="E19" s="9">
        <v>1</v>
      </c>
      <c r="F19" s="9">
        <v>276</v>
      </c>
      <c r="G19" s="9">
        <v>390</v>
      </c>
      <c r="H19" s="9">
        <v>240</v>
      </c>
      <c r="I19" s="33">
        <v>300</v>
      </c>
      <c r="J19" s="10" t="s">
        <v>53</v>
      </c>
      <c r="K19" s="9">
        <v>-280</v>
      </c>
      <c r="L19" s="9" t="s">
        <v>117</v>
      </c>
      <c r="M19" s="9">
        <f t="shared" si="0"/>
        <v>1020</v>
      </c>
      <c r="N19" s="9">
        <f t="shared" si="4"/>
        <v>135</v>
      </c>
      <c r="O19" s="9">
        <v>150</v>
      </c>
      <c r="P19" s="16">
        <f t="shared" si="1"/>
        <v>191.76</v>
      </c>
      <c r="Q19" s="16">
        <f t="shared" si="5"/>
        <v>514.5360000000001</v>
      </c>
      <c r="R19" s="9">
        <f t="shared" si="6"/>
        <v>390</v>
      </c>
      <c r="S19" s="16">
        <f t="shared" si="7"/>
        <v>23.4</v>
      </c>
      <c r="T19" s="16">
        <f t="shared" si="8"/>
        <v>177.76080000000005</v>
      </c>
      <c r="U19" s="100" t="s">
        <v>171</v>
      </c>
      <c r="V19" s="33"/>
      <c r="W19" s="9" t="s">
        <v>95</v>
      </c>
      <c r="X19" s="9">
        <v>400</v>
      </c>
      <c r="Y19" s="33">
        <v>167</v>
      </c>
      <c r="Z19" s="9">
        <v>300</v>
      </c>
      <c r="AA19" s="63">
        <f t="shared" si="9"/>
        <v>105.33228631578947</v>
      </c>
      <c r="AB19" s="63">
        <f t="shared" si="2"/>
        <v>72.97634863053574</v>
      </c>
      <c r="AC19" s="38">
        <f t="shared" si="3"/>
        <v>29.6372736</v>
      </c>
      <c r="AD19" s="62" t="s">
        <v>104</v>
      </c>
      <c r="AE19" s="21"/>
    </row>
    <row r="20" spans="1:31" ht="11.25" customHeight="1">
      <c r="A20" s="9" t="s">
        <v>301</v>
      </c>
      <c r="B20" s="9" t="s">
        <v>293</v>
      </c>
      <c r="C20" s="9" t="s">
        <v>18</v>
      </c>
      <c r="D20" s="30" t="s">
        <v>14</v>
      </c>
      <c r="E20" s="9">
        <v>1</v>
      </c>
      <c r="F20" s="9">
        <v>276</v>
      </c>
      <c r="G20" s="9">
        <v>390</v>
      </c>
      <c r="H20" s="9">
        <v>370</v>
      </c>
      <c r="I20" s="33">
        <v>500</v>
      </c>
      <c r="J20" s="10" t="s">
        <v>53</v>
      </c>
      <c r="K20" s="9">
        <v>-240</v>
      </c>
      <c r="L20" s="9" t="s">
        <v>117</v>
      </c>
      <c r="M20" s="9">
        <f t="shared" si="0"/>
        <v>940</v>
      </c>
      <c r="N20" s="9">
        <f t="shared" si="4"/>
        <v>225</v>
      </c>
      <c r="O20" s="9">
        <v>390</v>
      </c>
      <c r="P20" s="16">
        <f t="shared" si="1"/>
        <v>67.96923076923076</v>
      </c>
      <c r="Q20" s="16">
        <f t="shared" si="5"/>
        <v>378.36615384615385</v>
      </c>
      <c r="R20" s="9">
        <f t="shared" si="6"/>
        <v>390</v>
      </c>
      <c r="S20" s="16">
        <f t="shared" si="7"/>
        <v>39</v>
      </c>
      <c r="T20" s="16">
        <f t="shared" si="8"/>
        <v>228.18307692307692</v>
      </c>
      <c r="U20" s="100" t="s">
        <v>170</v>
      </c>
      <c r="V20" s="33"/>
      <c r="W20" s="9" t="s">
        <v>95</v>
      </c>
      <c r="X20" s="9">
        <v>400</v>
      </c>
      <c r="Y20" s="9">
        <v>294</v>
      </c>
      <c r="Z20" s="33">
        <v>500</v>
      </c>
      <c r="AA20" s="63">
        <f t="shared" si="9"/>
        <v>300.7303578947368</v>
      </c>
      <c r="AB20" s="63">
        <f t="shared" si="2"/>
        <v>208.35210370082254</v>
      </c>
      <c r="AC20" s="38">
        <f t="shared" si="3"/>
        <v>51.798326461538466</v>
      </c>
      <c r="AD20" s="62" t="s">
        <v>103</v>
      </c>
      <c r="AE20" s="21"/>
    </row>
    <row r="21" spans="1:31" ht="11.25" customHeight="1">
      <c r="A21" s="9" t="s">
        <v>302</v>
      </c>
      <c r="B21" s="9" t="s">
        <v>294</v>
      </c>
      <c r="C21" s="9" t="s">
        <v>19</v>
      </c>
      <c r="D21" s="30" t="s">
        <v>14</v>
      </c>
      <c r="E21" s="9">
        <v>1</v>
      </c>
      <c r="F21" s="9">
        <v>276</v>
      </c>
      <c r="G21" s="9">
        <v>390</v>
      </c>
      <c r="H21" s="9">
        <v>310</v>
      </c>
      <c r="I21" s="33">
        <v>400</v>
      </c>
      <c r="J21" s="10" t="s">
        <v>53</v>
      </c>
      <c r="K21" s="9">
        <v>-200</v>
      </c>
      <c r="L21" s="9" t="s">
        <v>117</v>
      </c>
      <c r="M21" s="9">
        <f t="shared" si="0"/>
        <v>860</v>
      </c>
      <c r="N21" s="9">
        <f t="shared" si="4"/>
        <v>180</v>
      </c>
      <c r="O21" s="33">
        <v>300</v>
      </c>
      <c r="P21" s="16">
        <f t="shared" si="1"/>
        <v>80.83999999999999</v>
      </c>
      <c r="Q21" s="16">
        <f t="shared" si="5"/>
        <v>392.524</v>
      </c>
      <c r="R21" s="9">
        <f t="shared" si="6"/>
        <v>390</v>
      </c>
      <c r="S21" s="16">
        <f t="shared" si="7"/>
        <v>31.2</v>
      </c>
      <c r="T21" s="16">
        <f t="shared" si="8"/>
        <v>188.2096</v>
      </c>
      <c r="U21" s="100" t="s">
        <v>169</v>
      </c>
      <c r="V21" s="33"/>
      <c r="W21" s="9" t="s">
        <v>95</v>
      </c>
      <c r="X21" s="9">
        <v>400</v>
      </c>
      <c r="Y21" s="33">
        <v>197</v>
      </c>
      <c r="Z21" s="33">
        <v>400</v>
      </c>
      <c r="AA21" s="63">
        <f t="shared" si="9"/>
        <v>164.0984589473684</v>
      </c>
      <c r="AB21" s="63">
        <f t="shared" si="2"/>
        <v>113.69074733623908</v>
      </c>
      <c r="AC21" s="38">
        <f t="shared" si="3"/>
        <v>37.7215564</v>
      </c>
      <c r="AD21" s="62" t="s">
        <v>103</v>
      </c>
      <c r="AE21" s="21"/>
    </row>
    <row r="22" spans="1:31" ht="11.25" customHeight="1">
      <c r="A22" s="9" t="s">
        <v>303</v>
      </c>
      <c r="B22" s="9" t="s">
        <v>295</v>
      </c>
      <c r="C22" s="31" t="s">
        <v>20</v>
      </c>
      <c r="D22" s="32" t="s">
        <v>14</v>
      </c>
      <c r="E22" s="9">
        <v>1</v>
      </c>
      <c r="F22" s="9">
        <v>276</v>
      </c>
      <c r="G22" s="9">
        <v>390</v>
      </c>
      <c r="H22" s="9">
        <v>250</v>
      </c>
      <c r="I22" s="9">
        <v>300</v>
      </c>
      <c r="J22" s="10" t="s">
        <v>53</v>
      </c>
      <c r="K22" s="9">
        <v>-170</v>
      </c>
      <c r="L22" s="9" t="s">
        <v>117</v>
      </c>
      <c r="M22" s="9">
        <f t="shared" si="0"/>
        <v>800</v>
      </c>
      <c r="N22" s="9">
        <f t="shared" si="4"/>
        <v>135</v>
      </c>
      <c r="O22" s="9">
        <v>150</v>
      </c>
      <c r="P22" s="16">
        <f t="shared" si="1"/>
        <v>150.39999999999998</v>
      </c>
      <c r="Q22" s="16">
        <f t="shared" si="5"/>
        <v>469.04</v>
      </c>
      <c r="R22" s="9">
        <f t="shared" si="6"/>
        <v>390</v>
      </c>
      <c r="S22" s="16">
        <f t="shared" si="7"/>
        <v>23.4</v>
      </c>
      <c r="T22" s="16">
        <f t="shared" si="8"/>
        <v>164.11200000000002</v>
      </c>
      <c r="U22" s="100" t="s">
        <v>171</v>
      </c>
      <c r="V22" s="33"/>
      <c r="W22" s="9" t="s">
        <v>95</v>
      </c>
      <c r="X22" s="9">
        <v>400</v>
      </c>
      <c r="Y22" s="9">
        <v>167</v>
      </c>
      <c r="Z22" s="33">
        <v>300</v>
      </c>
      <c r="AA22" s="63">
        <f t="shared" si="9"/>
        <v>105.33228631578947</v>
      </c>
      <c r="AB22" s="63">
        <f t="shared" si="2"/>
        <v>72.97634863053574</v>
      </c>
      <c r="AC22" s="38">
        <f>((H21^2)*Q21)/1000000</f>
        <v>37.7215564</v>
      </c>
      <c r="AD22" s="62" t="s">
        <v>103</v>
      </c>
      <c r="AE22" s="21"/>
    </row>
    <row r="23" spans="1:31" s="26" customFormat="1" ht="11.25" customHeight="1">
      <c r="A23" s="134" t="s">
        <v>366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84"/>
    </row>
    <row r="24" spans="1:31" ht="11.25" customHeight="1">
      <c r="A24" s="9" t="s">
        <v>268</v>
      </c>
      <c r="B24" s="9" t="s">
        <v>244</v>
      </c>
      <c r="C24" s="12" t="s">
        <v>21</v>
      </c>
      <c r="D24" s="29" t="s">
        <v>21</v>
      </c>
      <c r="E24" s="9">
        <v>112</v>
      </c>
      <c r="F24" s="9">
        <v>1.935</v>
      </c>
      <c r="G24" s="9">
        <v>2</v>
      </c>
      <c r="H24" s="9">
        <v>5150</v>
      </c>
      <c r="I24" s="9">
        <v>5400</v>
      </c>
      <c r="J24" s="60" t="s">
        <v>182</v>
      </c>
      <c r="K24" s="9">
        <v>500</v>
      </c>
      <c r="L24" s="9" t="s">
        <v>148</v>
      </c>
      <c r="M24" s="9">
        <v>4000</v>
      </c>
      <c r="N24" s="33">
        <f>I24*0.45</f>
        <v>2430</v>
      </c>
      <c r="O24" s="33">
        <v>1500</v>
      </c>
      <c r="P24" s="16">
        <f>(0.0175*(M24/O24))*1000</f>
        <v>46.66666666666667</v>
      </c>
      <c r="Q24" s="16">
        <f>(P24+(F24*E24))*1.1</f>
        <v>289.72533333333337</v>
      </c>
      <c r="R24" s="9">
        <f aca="true" t="shared" si="10" ref="R24:R52">G24*E24</f>
        <v>224</v>
      </c>
      <c r="S24" s="16">
        <f>(R24*(I24/5))/1000</f>
        <v>241.92</v>
      </c>
      <c r="T24" s="16">
        <f aca="true" t="shared" si="11" ref="T24:T52">((Q24/1000)*I24)+S24</f>
        <v>1806.4368000000004</v>
      </c>
      <c r="U24" s="33" t="s">
        <v>329</v>
      </c>
      <c r="V24" s="121">
        <v>1</v>
      </c>
      <c r="W24" s="9" t="s">
        <v>90</v>
      </c>
      <c r="X24" s="9">
        <v>18000</v>
      </c>
      <c r="Y24" s="9">
        <v>1800</v>
      </c>
      <c r="Z24" s="9">
        <v>5400</v>
      </c>
      <c r="AA24" s="63">
        <f>((Y24*0.9)+10)*Z24*0.816*1.02/18000</f>
        <v>407.00448</v>
      </c>
      <c r="AB24" s="63">
        <f>X24*AA24*(3^0.5)/1000</f>
        <v>12689.143888826717</v>
      </c>
      <c r="AC24" s="38">
        <f>((H24^2)*Q24)/1000000</f>
        <v>7684.240153333334</v>
      </c>
      <c r="AD24" s="62" t="s">
        <v>121</v>
      </c>
      <c r="AE24" s="68">
        <f>AA24*0.5</f>
        <v>203.50224</v>
      </c>
    </row>
    <row r="25" spans="1:31" ht="11.25" customHeight="1">
      <c r="A25" s="9" t="s">
        <v>179</v>
      </c>
      <c r="B25" s="9" t="s">
        <v>245</v>
      </c>
      <c r="C25" s="9" t="s">
        <v>22</v>
      </c>
      <c r="D25" s="30" t="s">
        <v>23</v>
      </c>
      <c r="E25" s="9">
        <v>26</v>
      </c>
      <c r="F25" s="9">
        <v>31</v>
      </c>
      <c r="G25" s="9">
        <v>13</v>
      </c>
      <c r="H25" s="9">
        <v>490</v>
      </c>
      <c r="I25" s="9">
        <v>600</v>
      </c>
      <c r="J25" s="60" t="s">
        <v>53</v>
      </c>
      <c r="K25" s="33">
        <v>1030</v>
      </c>
      <c r="L25" s="9" t="s">
        <v>148</v>
      </c>
      <c r="M25" s="33">
        <v>5880</v>
      </c>
      <c r="N25" s="9">
        <f>I25*0.45</f>
        <v>270</v>
      </c>
      <c r="O25" s="9">
        <v>630</v>
      </c>
      <c r="P25" s="16">
        <f>(0.0282*(M25/O25))*1000</f>
        <v>263.2</v>
      </c>
      <c r="Q25" s="16">
        <f>(P25+(F25*E25))*1.1</f>
        <v>1176.1200000000001</v>
      </c>
      <c r="R25" s="9">
        <f>G25*E25</f>
        <v>338</v>
      </c>
      <c r="S25" s="16">
        <f>(R25*(I25/5))/1000</f>
        <v>40.56</v>
      </c>
      <c r="T25" s="16">
        <f>((Q25/1000)*I25)+S25</f>
        <v>746.232</v>
      </c>
      <c r="U25" s="97" t="s">
        <v>331</v>
      </c>
      <c r="V25" s="121">
        <v>1</v>
      </c>
      <c r="W25" s="9" t="s">
        <v>90</v>
      </c>
      <c r="X25" s="9">
        <v>18000</v>
      </c>
      <c r="Y25" s="9">
        <v>1300</v>
      </c>
      <c r="Z25" s="9">
        <v>840</v>
      </c>
      <c r="AA25" s="63">
        <f>((Y25*0.9)+10)*Z25*0.816*1.02/18000</f>
        <v>45.833088</v>
      </c>
      <c r="AB25" s="63">
        <f>X25*AA25*(3^0.5)/1000</f>
        <v>1428.9342675079572</v>
      </c>
      <c r="AC25" s="38">
        <f>((H25^2)*Q25)/1000000</f>
        <v>282.386412</v>
      </c>
      <c r="AD25" s="62" t="s">
        <v>100</v>
      </c>
      <c r="AE25" s="68">
        <f>AA25*0.5</f>
        <v>22.916544</v>
      </c>
    </row>
    <row r="26" spans="1:31" ht="11.25" customHeight="1">
      <c r="A26" s="9" t="s">
        <v>132</v>
      </c>
      <c r="B26" s="9" t="s">
        <v>246</v>
      </c>
      <c r="C26" s="9" t="s">
        <v>22</v>
      </c>
      <c r="D26" s="30" t="s">
        <v>23</v>
      </c>
      <c r="E26" s="9">
        <v>13</v>
      </c>
      <c r="F26" s="9">
        <v>31</v>
      </c>
      <c r="G26" s="9">
        <v>13</v>
      </c>
      <c r="H26" s="9">
        <v>490</v>
      </c>
      <c r="I26" s="33">
        <v>600</v>
      </c>
      <c r="J26" s="60" t="s">
        <v>53</v>
      </c>
      <c r="K26" s="9">
        <v>240</v>
      </c>
      <c r="L26" s="9" t="s">
        <v>148</v>
      </c>
      <c r="M26" s="9">
        <v>2500</v>
      </c>
      <c r="N26" s="9">
        <f>I26*0.45</f>
        <v>270</v>
      </c>
      <c r="O26" s="33">
        <v>630</v>
      </c>
      <c r="P26" s="16">
        <f>(0.0282*(M26/O26))*1000</f>
        <v>111.90476190476191</v>
      </c>
      <c r="Q26" s="16">
        <f>(P26+(F26*E26))*1.1</f>
        <v>566.3952380952381</v>
      </c>
      <c r="R26" s="9">
        <f>G26*E26</f>
        <v>169</v>
      </c>
      <c r="S26" s="16">
        <f>(R26*(I26/5))/1000</f>
        <v>20.28</v>
      </c>
      <c r="T26" s="42">
        <f>((Q26/1000)*I26)+S26</f>
        <v>360.1171428571429</v>
      </c>
      <c r="U26" s="103" t="s">
        <v>330</v>
      </c>
      <c r="V26" s="121">
        <v>5</v>
      </c>
      <c r="W26" s="9" t="s">
        <v>90</v>
      </c>
      <c r="X26" s="9">
        <v>400</v>
      </c>
      <c r="Y26" s="33">
        <v>350</v>
      </c>
      <c r="Z26" s="33">
        <v>720</v>
      </c>
      <c r="AA26" s="63">
        <f>((Y26*0.9)+10)*Z26*0.816*1.02/380</f>
        <v>512.5338947368422</v>
      </c>
      <c r="AB26" s="63">
        <f>X26*AA26*(3^0.5)/1000</f>
        <v>355.0938985141478</v>
      </c>
      <c r="AC26" s="38">
        <f>((H26^2)*Q26)/1000000</f>
        <v>135.99149666666668</v>
      </c>
      <c r="AD26" s="62" t="s">
        <v>92</v>
      </c>
      <c r="AE26" s="68">
        <f>AA26*0.5</f>
        <v>256.2669473684211</v>
      </c>
    </row>
    <row r="27" spans="1:31" ht="11.25" customHeight="1">
      <c r="A27" s="9" t="s">
        <v>180</v>
      </c>
      <c r="B27" s="9" t="s">
        <v>247</v>
      </c>
      <c r="C27" s="9" t="s">
        <v>24</v>
      </c>
      <c r="D27" s="30" t="s">
        <v>23</v>
      </c>
      <c r="E27" s="9">
        <v>40</v>
      </c>
      <c r="F27" s="9">
        <v>31</v>
      </c>
      <c r="G27" s="9">
        <v>13</v>
      </c>
      <c r="H27" s="9">
        <v>490</v>
      </c>
      <c r="I27" s="9">
        <v>600</v>
      </c>
      <c r="J27" s="60" t="s">
        <v>53</v>
      </c>
      <c r="K27" s="33">
        <v>210</v>
      </c>
      <c r="L27" s="9" t="s">
        <v>148</v>
      </c>
      <c r="M27" s="33">
        <v>5996</v>
      </c>
      <c r="N27" s="9">
        <f>I27*0.45</f>
        <v>270</v>
      </c>
      <c r="O27" s="9">
        <v>630</v>
      </c>
      <c r="P27" s="16">
        <f>(0.0282*(M27/O27))*1000</f>
        <v>268.39238095238096</v>
      </c>
      <c r="Q27" s="16">
        <f>(P27+(F27*E27))*1.1</f>
        <v>1659.2316190476192</v>
      </c>
      <c r="R27" s="9">
        <f t="shared" si="10"/>
        <v>520</v>
      </c>
      <c r="S27" s="16">
        <f>(R27*(I27/5))/1000</f>
        <v>62.4</v>
      </c>
      <c r="T27" s="16">
        <f t="shared" si="11"/>
        <v>1057.9389714285717</v>
      </c>
      <c r="U27" s="97" t="s">
        <v>331</v>
      </c>
      <c r="V27" s="121">
        <v>2</v>
      </c>
      <c r="W27" s="9" t="s">
        <v>90</v>
      </c>
      <c r="X27" s="9">
        <v>18000</v>
      </c>
      <c r="Y27" s="9">
        <v>1300</v>
      </c>
      <c r="Z27" s="9">
        <v>840</v>
      </c>
      <c r="AA27" s="63">
        <f>((Y27*0.9)+10)*Z27*0.816*1.02/18000</f>
        <v>45.833088</v>
      </c>
      <c r="AB27" s="63">
        <f>X27*AA27*(3^0.5)/1000</f>
        <v>1428.9342675079572</v>
      </c>
      <c r="AC27" s="38">
        <f>((H27^2)*Q27)/1000000</f>
        <v>398.38151173333335</v>
      </c>
      <c r="AD27" s="62" t="s">
        <v>100</v>
      </c>
      <c r="AE27" s="68">
        <f>AA27*0.5</f>
        <v>22.916544</v>
      </c>
    </row>
    <row r="28" spans="1:31" ht="2.25" customHeight="1">
      <c r="A28" s="9"/>
      <c r="B28" s="9"/>
      <c r="C28" s="9"/>
      <c r="D28" s="30"/>
      <c r="E28" s="9"/>
      <c r="F28" s="9"/>
      <c r="G28" s="9"/>
      <c r="H28" s="9"/>
      <c r="I28" s="9"/>
      <c r="J28" s="60"/>
      <c r="K28" s="9"/>
      <c r="L28" s="9"/>
      <c r="M28" s="9"/>
      <c r="N28" s="9"/>
      <c r="O28" s="9"/>
      <c r="P28" s="16"/>
      <c r="Q28" s="16"/>
      <c r="R28" s="9"/>
      <c r="S28" s="16"/>
      <c r="T28" s="16"/>
      <c r="U28" s="9"/>
      <c r="V28" s="121"/>
      <c r="W28" s="9"/>
      <c r="X28" s="9"/>
      <c r="Y28" s="9"/>
      <c r="Z28" s="9"/>
      <c r="AA28" s="62"/>
      <c r="AB28" s="62"/>
      <c r="AC28" s="37"/>
      <c r="AD28" s="62"/>
      <c r="AE28" s="21"/>
    </row>
    <row r="29" spans="1:31" ht="11.25" customHeight="1">
      <c r="A29" s="9" t="s">
        <v>269</v>
      </c>
      <c r="B29" s="9" t="s">
        <v>248</v>
      </c>
      <c r="C29" s="9" t="s">
        <v>25</v>
      </c>
      <c r="D29" s="30" t="s">
        <v>26</v>
      </c>
      <c r="E29" s="9">
        <v>2</v>
      </c>
      <c r="F29" s="9">
        <v>4.5</v>
      </c>
      <c r="G29" s="33">
        <v>10</v>
      </c>
      <c r="H29" s="9">
        <v>3690</v>
      </c>
      <c r="I29" s="33">
        <v>4400</v>
      </c>
      <c r="J29" s="60" t="s">
        <v>53</v>
      </c>
      <c r="K29" s="9">
        <v>-80</v>
      </c>
      <c r="L29" s="9" t="s">
        <v>15</v>
      </c>
      <c r="M29" s="9">
        <v>620</v>
      </c>
      <c r="N29" s="9">
        <f aca="true" t="shared" si="12" ref="N29:N35">I29*0.45</f>
        <v>1980</v>
      </c>
      <c r="O29" s="33">
        <v>1920</v>
      </c>
      <c r="P29" s="16">
        <f>(0.0175*(M29/O29))*1000</f>
        <v>5.651041666666668</v>
      </c>
      <c r="Q29" s="16">
        <f aca="true" t="shared" si="13" ref="Q29:Q35">(P29+(F29*E29))*1.1</f>
        <v>16.116145833333334</v>
      </c>
      <c r="R29" s="9">
        <f t="shared" si="10"/>
        <v>20</v>
      </c>
      <c r="S29" s="16">
        <f aca="true" t="shared" si="14" ref="S29:S35">(R29*(I29/5))/1000</f>
        <v>17.6</v>
      </c>
      <c r="T29" s="16">
        <f t="shared" si="11"/>
        <v>88.51104166666667</v>
      </c>
      <c r="U29" s="33" t="s">
        <v>183</v>
      </c>
      <c r="V29" s="121"/>
      <c r="W29" s="9" t="s">
        <v>95</v>
      </c>
      <c r="X29" s="9">
        <v>18000</v>
      </c>
      <c r="Y29" s="33">
        <v>160</v>
      </c>
      <c r="Z29" s="33">
        <v>4400</v>
      </c>
      <c r="AA29" s="63">
        <f>((Y29*0.9)+10)*Z29*0.816*1.02/18000</f>
        <v>31.332224</v>
      </c>
      <c r="AB29" s="63">
        <f>X29*AA29*(3^0.5)/1000</f>
        <v>976.8420698783212</v>
      </c>
      <c r="AC29" s="38">
        <f aca="true" t="shared" si="15" ref="AC29:AC34">((H29^2)*Q29)/1000000</f>
        <v>219.43905328125</v>
      </c>
      <c r="AD29" s="62" t="s">
        <v>130</v>
      </c>
      <c r="AE29" s="68">
        <f aca="true" t="shared" si="16" ref="AE29:AE35">AA29*0.5</f>
        <v>15.666112</v>
      </c>
    </row>
    <row r="30" spans="1:31" ht="11.25" customHeight="1">
      <c r="A30" s="9" t="s">
        <v>270</v>
      </c>
      <c r="B30" s="9" t="s">
        <v>249</v>
      </c>
      <c r="C30" s="9" t="s">
        <v>27</v>
      </c>
      <c r="D30" s="30" t="s">
        <v>28</v>
      </c>
      <c r="E30" s="9">
        <v>6</v>
      </c>
      <c r="F30" s="9">
        <v>66.3</v>
      </c>
      <c r="G30" s="33">
        <v>103</v>
      </c>
      <c r="H30" s="9">
        <v>725</v>
      </c>
      <c r="I30" s="33">
        <v>800</v>
      </c>
      <c r="J30" s="60" t="s">
        <v>182</v>
      </c>
      <c r="K30" s="9">
        <v>-30</v>
      </c>
      <c r="L30" s="9" t="s">
        <v>148</v>
      </c>
      <c r="M30" s="9">
        <v>1272</v>
      </c>
      <c r="N30" s="9">
        <f t="shared" si="12"/>
        <v>360</v>
      </c>
      <c r="O30" s="9">
        <v>1000</v>
      </c>
      <c r="P30" s="16">
        <f>(0.0282*(M30/O30))*1000</f>
        <v>35.8704</v>
      </c>
      <c r="Q30" s="16">
        <f t="shared" si="13"/>
        <v>477.03744</v>
      </c>
      <c r="R30" s="9">
        <f t="shared" si="10"/>
        <v>618</v>
      </c>
      <c r="S30" s="16">
        <f t="shared" si="14"/>
        <v>98.88</v>
      </c>
      <c r="T30" s="42">
        <f t="shared" si="11"/>
        <v>480.509952</v>
      </c>
      <c r="U30" s="33" t="s">
        <v>350</v>
      </c>
      <c r="V30" s="121"/>
      <c r="W30" s="9" t="s">
        <v>185</v>
      </c>
      <c r="X30" s="9">
        <v>400</v>
      </c>
      <c r="Y30" s="33">
        <v>450</v>
      </c>
      <c r="Z30" s="33">
        <v>810</v>
      </c>
      <c r="AA30" s="63">
        <f>((Y30*0.9)+10)*I30*0.816*1.02/380</f>
        <v>727.1848421052631</v>
      </c>
      <c r="AB30" s="63">
        <f>X30*AA30*(3^0.5)/1000</f>
        <v>503.80843720810697</v>
      </c>
      <c r="AC30" s="38">
        <f t="shared" si="15"/>
        <v>250.7428044</v>
      </c>
      <c r="AD30" s="62" t="s">
        <v>92</v>
      </c>
      <c r="AE30" s="68">
        <f t="shared" si="16"/>
        <v>363.59242105263155</v>
      </c>
    </row>
    <row r="31" spans="1:31" ht="11.25" customHeight="1">
      <c r="A31" s="30" t="s">
        <v>322</v>
      </c>
      <c r="B31" s="30" t="s">
        <v>323</v>
      </c>
      <c r="C31" s="9" t="s">
        <v>29</v>
      </c>
      <c r="D31" s="30" t="s">
        <v>31</v>
      </c>
      <c r="E31" s="9">
        <v>3</v>
      </c>
      <c r="F31" s="9">
        <v>16.4</v>
      </c>
      <c r="G31" s="9">
        <v>31.6</v>
      </c>
      <c r="H31" s="9">
        <v>950</v>
      </c>
      <c r="I31" s="9">
        <v>1000</v>
      </c>
      <c r="J31" s="60" t="s">
        <v>53</v>
      </c>
      <c r="K31" s="9">
        <v>-110</v>
      </c>
      <c r="L31" s="9" t="s">
        <v>148</v>
      </c>
      <c r="M31" s="9">
        <v>1156</v>
      </c>
      <c r="N31" s="9">
        <f t="shared" si="12"/>
        <v>450</v>
      </c>
      <c r="O31" s="33">
        <v>1260</v>
      </c>
      <c r="P31" s="16">
        <f>(0.0282*(M31/O31))*1000</f>
        <v>25.87238095238095</v>
      </c>
      <c r="Q31" s="16">
        <f t="shared" si="13"/>
        <v>82.57961904761903</v>
      </c>
      <c r="R31" s="9">
        <f t="shared" si="10"/>
        <v>94.80000000000001</v>
      </c>
      <c r="S31" s="16">
        <f>((R31+R32)*(I31/5))/1000</f>
        <v>24.92</v>
      </c>
      <c r="T31" s="16">
        <f>(((Q31+Q32)/1000)*I31)+S31</f>
        <v>131.47961904761905</v>
      </c>
      <c r="U31" s="33" t="s">
        <v>175</v>
      </c>
      <c r="V31" s="121"/>
      <c r="W31" s="9" t="s">
        <v>95</v>
      </c>
      <c r="X31" s="9">
        <v>400</v>
      </c>
      <c r="Y31" s="9">
        <v>210</v>
      </c>
      <c r="Z31" s="9">
        <v>1620</v>
      </c>
      <c r="AA31" s="63">
        <f>((Y31*0.9)+10)*Z31*0.816*1.02/380</f>
        <v>706.1140042105262</v>
      </c>
      <c r="AB31" s="63">
        <f>X31*AA31*(3^0.5)/1000</f>
        <v>489.21013249141413</v>
      </c>
      <c r="AC31" s="38">
        <f t="shared" si="15"/>
        <v>74.52810619047618</v>
      </c>
      <c r="AD31" s="62" t="s">
        <v>102</v>
      </c>
      <c r="AE31" s="68">
        <f t="shared" si="16"/>
        <v>353.0570021052631</v>
      </c>
    </row>
    <row r="32" spans="1:31" ht="11.25" customHeight="1">
      <c r="A32" s="30" t="s">
        <v>271</v>
      </c>
      <c r="B32" s="30"/>
      <c r="C32" s="9" t="s">
        <v>30</v>
      </c>
      <c r="D32" s="30" t="s">
        <v>32</v>
      </c>
      <c r="E32" s="9">
        <v>2</v>
      </c>
      <c r="F32" s="9">
        <v>10.9</v>
      </c>
      <c r="G32" s="9">
        <v>14.9</v>
      </c>
      <c r="H32" s="9"/>
      <c r="I32" s="9"/>
      <c r="J32" s="33"/>
      <c r="K32" s="9"/>
      <c r="L32" s="9"/>
      <c r="M32" s="9"/>
      <c r="N32" s="9">
        <f t="shared" si="12"/>
        <v>0</v>
      </c>
      <c r="O32" s="9"/>
      <c r="P32" s="16"/>
      <c r="Q32" s="16">
        <f t="shared" si="13"/>
        <v>23.980000000000004</v>
      </c>
      <c r="R32" s="9">
        <f t="shared" si="10"/>
        <v>29.8</v>
      </c>
      <c r="S32" s="16"/>
      <c r="T32" s="16"/>
      <c r="U32" s="9"/>
      <c r="V32" s="121"/>
      <c r="W32" s="9"/>
      <c r="X32" s="9"/>
      <c r="Y32" s="9"/>
      <c r="Z32" s="9"/>
      <c r="AA32" s="62"/>
      <c r="AB32" s="62"/>
      <c r="AC32" s="38"/>
      <c r="AD32" s="62"/>
      <c r="AE32" s="68">
        <f t="shared" si="16"/>
        <v>0</v>
      </c>
    </row>
    <row r="33" spans="1:31" ht="11.25" customHeight="1">
      <c r="A33" s="9" t="s">
        <v>272</v>
      </c>
      <c r="B33" s="9" t="s">
        <v>250</v>
      </c>
      <c r="C33" s="9" t="s">
        <v>33</v>
      </c>
      <c r="D33" s="30" t="s">
        <v>34</v>
      </c>
      <c r="E33" s="9">
        <v>17</v>
      </c>
      <c r="F33" s="9">
        <v>37.6</v>
      </c>
      <c r="G33" s="9">
        <v>120</v>
      </c>
      <c r="H33" s="9">
        <v>925</v>
      </c>
      <c r="I33" s="9">
        <v>1000</v>
      </c>
      <c r="J33" s="60" t="s">
        <v>182</v>
      </c>
      <c r="K33" s="9">
        <v>50</v>
      </c>
      <c r="L33" s="9" t="s">
        <v>15</v>
      </c>
      <c r="M33" s="9">
        <v>814</v>
      </c>
      <c r="N33" s="9">
        <f t="shared" si="12"/>
        <v>450</v>
      </c>
      <c r="O33" s="9">
        <v>480</v>
      </c>
      <c r="P33" s="16">
        <f>(0.0175*(M33/O33))*1000</f>
        <v>29.677083333333336</v>
      </c>
      <c r="Q33" s="16">
        <f t="shared" si="13"/>
        <v>735.7647916666668</v>
      </c>
      <c r="R33" s="9">
        <f t="shared" si="10"/>
        <v>2040</v>
      </c>
      <c r="S33" s="16">
        <f t="shared" si="14"/>
        <v>408</v>
      </c>
      <c r="T33" s="16">
        <f t="shared" si="11"/>
        <v>1143.764791666667</v>
      </c>
      <c r="U33" s="33" t="s">
        <v>334</v>
      </c>
      <c r="V33" s="121">
        <v>6</v>
      </c>
      <c r="W33" s="9" t="s">
        <v>90</v>
      </c>
      <c r="X33" s="9">
        <v>18000</v>
      </c>
      <c r="Y33" s="9">
        <v>1300</v>
      </c>
      <c r="Z33" s="9">
        <v>840</v>
      </c>
      <c r="AA33" s="63">
        <f>((Y33*0.9)+10)*Z33*0.816*1.02/18000</f>
        <v>45.833088</v>
      </c>
      <c r="AB33" s="63">
        <f>X33*AA33*(3^0.5)/1000</f>
        <v>1428.9342675079572</v>
      </c>
      <c r="AC33" s="38">
        <f t="shared" si="15"/>
        <v>629.5387498697919</v>
      </c>
      <c r="AD33" s="62" t="s">
        <v>101</v>
      </c>
      <c r="AE33" s="68">
        <f t="shared" si="16"/>
        <v>22.916544</v>
      </c>
    </row>
    <row r="34" spans="1:31" ht="11.25" customHeight="1">
      <c r="A34" s="9" t="s">
        <v>273</v>
      </c>
      <c r="B34" s="9" t="s">
        <v>251</v>
      </c>
      <c r="C34" s="9" t="s">
        <v>35</v>
      </c>
      <c r="D34" s="30" t="s">
        <v>34</v>
      </c>
      <c r="E34" s="9">
        <v>12</v>
      </c>
      <c r="F34" s="9">
        <v>37.6</v>
      </c>
      <c r="G34" s="9">
        <v>120</v>
      </c>
      <c r="H34" s="9">
        <v>900</v>
      </c>
      <c r="I34" s="9">
        <v>1000</v>
      </c>
      <c r="J34" s="10" t="s">
        <v>53</v>
      </c>
      <c r="K34" s="9">
        <v>700</v>
      </c>
      <c r="L34" s="9" t="s">
        <v>148</v>
      </c>
      <c r="M34" s="9">
        <v>3034</v>
      </c>
      <c r="N34" s="9">
        <f t="shared" si="12"/>
        <v>450</v>
      </c>
      <c r="O34" s="9">
        <v>1260</v>
      </c>
      <c r="P34" s="16">
        <f>(0.0282*(M34/O34))*1000</f>
        <v>67.90380952380951</v>
      </c>
      <c r="Q34" s="16">
        <f t="shared" si="13"/>
        <v>571.0141904761906</v>
      </c>
      <c r="R34" s="9">
        <f t="shared" si="10"/>
        <v>1440</v>
      </c>
      <c r="S34" s="16">
        <f t="shared" si="14"/>
        <v>288</v>
      </c>
      <c r="T34" s="16">
        <f t="shared" si="11"/>
        <v>859.0141904761906</v>
      </c>
      <c r="U34" s="97" t="s">
        <v>331</v>
      </c>
      <c r="V34" s="121">
        <v>4</v>
      </c>
      <c r="W34" s="9" t="s">
        <v>90</v>
      </c>
      <c r="X34" s="9">
        <v>18000</v>
      </c>
      <c r="Y34" s="9">
        <v>1300</v>
      </c>
      <c r="Z34" s="9">
        <v>840</v>
      </c>
      <c r="AA34" s="63">
        <f>((Y34*0.9)+10)*Z34*0.816*1.02/18000</f>
        <v>45.833088</v>
      </c>
      <c r="AB34" s="63">
        <f>X34*AA34*(3^0.5)/1000</f>
        <v>1428.9342675079572</v>
      </c>
      <c r="AC34" s="38">
        <f t="shared" si="15"/>
        <v>462.52149428571437</v>
      </c>
      <c r="AD34" s="62" t="s">
        <v>100</v>
      </c>
      <c r="AE34" s="68">
        <f t="shared" si="16"/>
        <v>22.916544</v>
      </c>
    </row>
    <row r="35" spans="1:31" ht="11.25" customHeight="1">
      <c r="A35" s="9" t="s">
        <v>274</v>
      </c>
      <c r="B35" s="9" t="s">
        <v>252</v>
      </c>
      <c r="C35" s="9" t="s">
        <v>36</v>
      </c>
      <c r="D35" s="30" t="s">
        <v>34</v>
      </c>
      <c r="E35" s="9">
        <v>4</v>
      </c>
      <c r="F35" s="9">
        <v>37.6</v>
      </c>
      <c r="G35" s="9">
        <v>120</v>
      </c>
      <c r="H35" s="9">
        <v>565</v>
      </c>
      <c r="I35" s="9">
        <v>800</v>
      </c>
      <c r="J35" s="10" t="s">
        <v>53</v>
      </c>
      <c r="K35" s="9">
        <v>20</v>
      </c>
      <c r="L35" s="9" t="s">
        <v>148</v>
      </c>
      <c r="M35" s="9">
        <v>1616</v>
      </c>
      <c r="N35" s="9">
        <f t="shared" si="12"/>
        <v>360</v>
      </c>
      <c r="O35" s="9">
        <v>630</v>
      </c>
      <c r="P35" s="16">
        <f>(0.0282*(M35/O35))*1000</f>
        <v>72.33523809523811</v>
      </c>
      <c r="Q35" s="16">
        <f t="shared" si="13"/>
        <v>245.00876190476194</v>
      </c>
      <c r="R35" s="9">
        <f t="shared" si="10"/>
        <v>480</v>
      </c>
      <c r="S35" s="16">
        <f t="shared" si="14"/>
        <v>76.8</v>
      </c>
      <c r="T35" s="42">
        <f t="shared" si="11"/>
        <v>272.80700952380954</v>
      </c>
      <c r="U35" s="103" t="s">
        <v>333</v>
      </c>
      <c r="V35" s="121">
        <v>4</v>
      </c>
      <c r="W35" s="9" t="s">
        <v>90</v>
      </c>
      <c r="X35" s="9">
        <v>400</v>
      </c>
      <c r="Y35" s="33">
        <v>350</v>
      </c>
      <c r="Z35" s="33">
        <v>720</v>
      </c>
      <c r="AA35" s="63">
        <f>((Y35*0.9)+10)*Z35*0.816*1.02/380</f>
        <v>512.5338947368422</v>
      </c>
      <c r="AB35" s="63">
        <f>X35*AA35*(3^0.5)/1000</f>
        <v>355.0938985141478</v>
      </c>
      <c r="AC35" s="38">
        <f>((H35^2)*Q35)/1000000</f>
        <v>78.21292201904764</v>
      </c>
      <c r="AD35" s="62" t="s">
        <v>92</v>
      </c>
      <c r="AE35" s="68">
        <f t="shared" si="16"/>
        <v>256.2669473684211</v>
      </c>
    </row>
    <row r="36" spans="1:31" ht="2.25" customHeight="1">
      <c r="A36" s="9"/>
      <c r="B36" s="9"/>
      <c r="C36" s="9"/>
      <c r="D36" s="30"/>
      <c r="E36" s="9"/>
      <c r="F36" s="9"/>
      <c r="G36" s="9"/>
      <c r="H36" s="9">
        <v>330</v>
      </c>
      <c r="I36" s="9"/>
      <c r="J36" s="10"/>
      <c r="K36" s="9"/>
      <c r="L36" s="9"/>
      <c r="M36" s="9"/>
      <c r="N36" s="9"/>
      <c r="O36" s="9"/>
      <c r="P36" s="16"/>
      <c r="Q36" s="16"/>
      <c r="R36" s="9"/>
      <c r="S36" s="16"/>
      <c r="T36" s="16"/>
      <c r="U36" s="9"/>
      <c r="V36" s="121"/>
      <c r="W36" s="9"/>
      <c r="X36" s="9"/>
      <c r="Y36" s="9"/>
      <c r="Z36" s="9"/>
      <c r="AA36" s="62"/>
      <c r="AB36" s="62"/>
      <c r="AC36" s="37"/>
      <c r="AD36" s="62"/>
      <c r="AE36" s="21"/>
    </row>
    <row r="37" spans="1:31" ht="11.25" customHeight="1">
      <c r="A37" s="9" t="s">
        <v>275</v>
      </c>
      <c r="B37" s="9" t="s">
        <v>253</v>
      </c>
      <c r="C37" s="9" t="s">
        <v>37</v>
      </c>
      <c r="D37" s="30" t="s">
        <v>23</v>
      </c>
      <c r="E37" s="9">
        <v>1</v>
      </c>
      <c r="F37" s="9">
        <v>31</v>
      </c>
      <c r="G37" s="9">
        <v>13</v>
      </c>
      <c r="H37" s="9">
        <v>370</v>
      </c>
      <c r="I37" s="9">
        <v>500</v>
      </c>
      <c r="J37" s="10" t="s">
        <v>53</v>
      </c>
      <c r="K37" s="9">
        <v>-130</v>
      </c>
      <c r="L37" s="9" t="s">
        <v>15</v>
      </c>
      <c r="M37" s="9">
        <v>760</v>
      </c>
      <c r="N37" s="9">
        <f aca="true" t="shared" si="17" ref="N37:N52">I37*0.45</f>
        <v>225</v>
      </c>
      <c r="O37" s="9">
        <v>240</v>
      </c>
      <c r="P37" s="16">
        <f aca="true" t="shared" si="18" ref="P37:P42">(0.0175*(M37/O37))*1000</f>
        <v>55.41666666666667</v>
      </c>
      <c r="Q37" s="16">
        <f aca="true" t="shared" si="19" ref="Q37:Q52">(P37+(F37*E37))*1.1</f>
        <v>95.05833333333335</v>
      </c>
      <c r="R37" s="9">
        <f t="shared" si="10"/>
        <v>13</v>
      </c>
      <c r="S37" s="16">
        <f aca="true" t="shared" si="20" ref="S37:S52">(R37*(I37/5))/1000</f>
        <v>1.3</v>
      </c>
      <c r="T37" s="16">
        <f t="shared" si="11"/>
        <v>48.82916666666667</v>
      </c>
      <c r="U37" s="101" t="s">
        <v>312</v>
      </c>
      <c r="V37" s="121">
        <v>2</v>
      </c>
      <c r="W37" s="9" t="s">
        <v>90</v>
      </c>
      <c r="X37" s="9">
        <v>400</v>
      </c>
      <c r="Y37" s="9">
        <v>105</v>
      </c>
      <c r="Z37" s="9">
        <v>490</v>
      </c>
      <c r="AA37" s="63">
        <f>((Y37*0.9)+10)*I37*0.816*1.02/380</f>
        <v>114.444</v>
      </c>
      <c r="AB37" s="63">
        <f aca="true" t="shared" si="21" ref="AB37:AB52">X37*AA37*(3^0.5)/1000</f>
        <v>79.28912904856503</v>
      </c>
      <c r="AC37" s="38">
        <f aca="true" t="shared" si="22" ref="AC37:AC55">((H37^2)*Q37)/1000000</f>
        <v>13.013485833333336</v>
      </c>
      <c r="AD37" s="62" t="s">
        <v>93</v>
      </c>
      <c r="AE37" s="68">
        <f aca="true" t="shared" si="23" ref="AE37:AE52">AA37*0.5</f>
        <v>57.222</v>
      </c>
    </row>
    <row r="38" spans="1:31" ht="11.25" customHeight="1">
      <c r="A38" s="9" t="s">
        <v>276</v>
      </c>
      <c r="B38" s="9" t="s">
        <v>254</v>
      </c>
      <c r="C38" s="9" t="s">
        <v>38</v>
      </c>
      <c r="D38" s="30" t="s">
        <v>23</v>
      </c>
      <c r="E38" s="9">
        <v>1</v>
      </c>
      <c r="F38" s="9">
        <v>31</v>
      </c>
      <c r="G38" s="9">
        <v>13</v>
      </c>
      <c r="H38" s="9">
        <v>290</v>
      </c>
      <c r="I38" s="33">
        <v>400</v>
      </c>
      <c r="J38" s="10" t="s">
        <v>53</v>
      </c>
      <c r="K38" s="9">
        <v>-100</v>
      </c>
      <c r="L38" s="9" t="s">
        <v>15</v>
      </c>
      <c r="M38" s="9">
        <v>696</v>
      </c>
      <c r="N38" s="9">
        <f t="shared" si="17"/>
        <v>180</v>
      </c>
      <c r="O38" s="9">
        <v>240</v>
      </c>
      <c r="P38" s="16">
        <f t="shared" si="18"/>
        <v>50.75</v>
      </c>
      <c r="Q38" s="16">
        <f t="shared" si="19"/>
        <v>89.92500000000001</v>
      </c>
      <c r="R38" s="9">
        <f t="shared" si="10"/>
        <v>13</v>
      </c>
      <c r="S38" s="16">
        <f t="shared" si="20"/>
        <v>1.04</v>
      </c>
      <c r="T38" s="16">
        <f t="shared" si="11"/>
        <v>37.01</v>
      </c>
      <c r="U38" s="101" t="s">
        <v>313</v>
      </c>
      <c r="V38" s="121">
        <v>6</v>
      </c>
      <c r="W38" s="9" t="s">
        <v>90</v>
      </c>
      <c r="X38" s="9">
        <v>400</v>
      </c>
      <c r="Y38" s="9">
        <v>100</v>
      </c>
      <c r="Z38" s="9">
        <v>360</v>
      </c>
      <c r="AA38" s="63">
        <f>((Y38*0.9)+10)*I38*0.816*1.02/380</f>
        <v>87.61263157894736</v>
      </c>
      <c r="AB38" s="63">
        <f t="shared" si="21"/>
        <v>60.69981171182012</v>
      </c>
      <c r="AC38" s="38">
        <f t="shared" si="22"/>
        <v>7.562692500000001</v>
      </c>
      <c r="AD38" s="62" t="s">
        <v>91</v>
      </c>
      <c r="AE38" s="68">
        <f t="shared" si="23"/>
        <v>43.80631578947368</v>
      </c>
    </row>
    <row r="39" spans="1:31" ht="11.25" customHeight="1">
      <c r="A39" s="9" t="s">
        <v>277</v>
      </c>
      <c r="B39" s="9" t="s">
        <v>255</v>
      </c>
      <c r="C39" s="9" t="s">
        <v>39</v>
      </c>
      <c r="D39" s="30" t="s">
        <v>23</v>
      </c>
      <c r="E39" s="9">
        <v>1</v>
      </c>
      <c r="F39" s="9">
        <v>31</v>
      </c>
      <c r="G39" s="9">
        <v>13</v>
      </c>
      <c r="H39" s="9">
        <v>270</v>
      </c>
      <c r="I39" s="33">
        <v>400</v>
      </c>
      <c r="J39" s="10" t="s">
        <v>53</v>
      </c>
      <c r="K39" s="9">
        <v>-60</v>
      </c>
      <c r="L39" s="9" t="s">
        <v>15</v>
      </c>
      <c r="M39" s="9">
        <v>636</v>
      </c>
      <c r="N39" s="9">
        <f t="shared" si="17"/>
        <v>180</v>
      </c>
      <c r="O39" s="9">
        <v>240</v>
      </c>
      <c r="P39" s="16">
        <f t="shared" si="18"/>
        <v>46.375</v>
      </c>
      <c r="Q39" s="16">
        <f t="shared" si="19"/>
        <v>85.11250000000001</v>
      </c>
      <c r="R39" s="9">
        <f t="shared" si="10"/>
        <v>13</v>
      </c>
      <c r="S39" s="16">
        <f t="shared" si="20"/>
        <v>1.04</v>
      </c>
      <c r="T39" s="16">
        <f t="shared" si="11"/>
        <v>35.085</v>
      </c>
      <c r="U39" s="101" t="s">
        <v>313</v>
      </c>
      <c r="V39" s="121">
        <v>4</v>
      </c>
      <c r="W39" s="9" t="s">
        <v>90</v>
      </c>
      <c r="X39" s="9">
        <v>400</v>
      </c>
      <c r="Y39" s="9">
        <v>100</v>
      </c>
      <c r="Z39" s="9">
        <v>360</v>
      </c>
      <c r="AA39" s="63">
        <f>((Y39*0.9)+10)*I39*0.816*1.02/380</f>
        <v>87.61263157894736</v>
      </c>
      <c r="AB39" s="63">
        <f t="shared" si="21"/>
        <v>60.69981171182012</v>
      </c>
      <c r="AC39" s="38">
        <f t="shared" si="22"/>
        <v>6.204701250000001</v>
      </c>
      <c r="AD39" s="62" t="s">
        <v>91</v>
      </c>
      <c r="AE39" s="68">
        <f t="shared" si="23"/>
        <v>43.80631578947368</v>
      </c>
    </row>
    <row r="40" spans="1:31" ht="11.25" customHeight="1">
      <c r="A40" s="9" t="s">
        <v>278</v>
      </c>
      <c r="B40" s="9" t="s">
        <v>256</v>
      </c>
      <c r="C40" s="9" t="s">
        <v>40</v>
      </c>
      <c r="D40" s="30" t="s">
        <v>23</v>
      </c>
      <c r="E40" s="9">
        <v>1</v>
      </c>
      <c r="F40" s="9">
        <v>31</v>
      </c>
      <c r="G40" s="9">
        <v>13</v>
      </c>
      <c r="H40" s="9">
        <v>330</v>
      </c>
      <c r="I40" s="33">
        <v>500</v>
      </c>
      <c r="J40" s="10" t="s">
        <v>53</v>
      </c>
      <c r="K40" s="9">
        <v>-30</v>
      </c>
      <c r="L40" s="9" t="s">
        <v>15</v>
      </c>
      <c r="M40" s="9">
        <v>576</v>
      </c>
      <c r="N40" s="9">
        <f t="shared" si="17"/>
        <v>225</v>
      </c>
      <c r="O40" s="9">
        <v>240</v>
      </c>
      <c r="P40" s="16">
        <f t="shared" si="18"/>
        <v>42</v>
      </c>
      <c r="Q40" s="16">
        <f t="shared" si="19"/>
        <v>80.30000000000001</v>
      </c>
      <c r="R40" s="9">
        <f t="shared" si="10"/>
        <v>13</v>
      </c>
      <c r="S40" s="16">
        <f t="shared" si="20"/>
        <v>1.3</v>
      </c>
      <c r="T40" s="16">
        <f t="shared" si="11"/>
        <v>41.45</v>
      </c>
      <c r="U40" s="101" t="s">
        <v>312</v>
      </c>
      <c r="V40" s="121">
        <v>7</v>
      </c>
      <c r="W40" s="9" t="s">
        <v>90</v>
      </c>
      <c r="X40" s="9">
        <v>400</v>
      </c>
      <c r="Y40" s="9">
        <v>105</v>
      </c>
      <c r="Z40" s="9">
        <v>490</v>
      </c>
      <c r="AA40" s="63">
        <f>((Y40*0.9)+10)*I40*0.816*1.02/380</f>
        <v>114.444</v>
      </c>
      <c r="AB40" s="63">
        <f t="shared" si="21"/>
        <v>79.28912904856503</v>
      </c>
      <c r="AC40" s="38">
        <f>((H40^2)*Q40)/1000000</f>
        <v>8.744670000000001</v>
      </c>
      <c r="AD40" s="62" t="s">
        <v>93</v>
      </c>
      <c r="AE40" s="68">
        <f t="shared" si="23"/>
        <v>57.222</v>
      </c>
    </row>
    <row r="41" spans="1:31" ht="11.25" customHeight="1">
      <c r="A41" s="9" t="s">
        <v>279</v>
      </c>
      <c r="B41" s="9" t="s">
        <v>257</v>
      </c>
      <c r="C41" s="9" t="s">
        <v>41</v>
      </c>
      <c r="D41" s="30" t="s">
        <v>23</v>
      </c>
      <c r="E41" s="9">
        <v>1</v>
      </c>
      <c r="F41" s="9">
        <v>31</v>
      </c>
      <c r="G41" s="9">
        <v>13</v>
      </c>
      <c r="H41" s="9">
        <v>460</v>
      </c>
      <c r="I41" s="33">
        <v>600</v>
      </c>
      <c r="J41" s="10" t="s">
        <v>53</v>
      </c>
      <c r="K41" s="9">
        <v>0</v>
      </c>
      <c r="L41" s="9" t="s">
        <v>15</v>
      </c>
      <c r="M41" s="9">
        <v>484</v>
      </c>
      <c r="N41" s="9">
        <f t="shared" si="17"/>
        <v>270</v>
      </c>
      <c r="O41" s="9">
        <v>240</v>
      </c>
      <c r="P41" s="16">
        <f t="shared" si="18"/>
        <v>35.291666666666664</v>
      </c>
      <c r="Q41" s="16">
        <f t="shared" si="19"/>
        <v>72.92083333333333</v>
      </c>
      <c r="R41" s="9">
        <f t="shared" si="10"/>
        <v>13</v>
      </c>
      <c r="S41" s="16">
        <f t="shared" si="20"/>
        <v>1.56</v>
      </c>
      <c r="T41" s="16">
        <f t="shared" si="11"/>
        <v>45.31250000000001</v>
      </c>
      <c r="U41" s="101" t="s">
        <v>314</v>
      </c>
      <c r="V41" s="121">
        <v>1</v>
      </c>
      <c r="W41" s="9" t="s">
        <v>90</v>
      </c>
      <c r="X41" s="9">
        <v>400</v>
      </c>
      <c r="Y41" s="9">
        <v>210</v>
      </c>
      <c r="Z41" s="9">
        <v>720</v>
      </c>
      <c r="AA41" s="63">
        <f>((Y41*0.9)+10)*Z41*0.816*1.02/380</f>
        <v>313.82844631578945</v>
      </c>
      <c r="AB41" s="63">
        <f t="shared" si="21"/>
        <v>217.42672555173965</v>
      </c>
      <c r="AC41" s="38">
        <f t="shared" si="22"/>
        <v>15.430048333333334</v>
      </c>
      <c r="AD41" s="62" t="s">
        <v>92</v>
      </c>
      <c r="AE41" s="68">
        <f t="shared" si="23"/>
        <v>156.91422315789472</v>
      </c>
    </row>
    <row r="42" spans="1:31" ht="11.25" customHeight="1">
      <c r="A42" s="9" t="s">
        <v>280</v>
      </c>
      <c r="B42" s="9" t="s">
        <v>258</v>
      </c>
      <c r="C42" s="9" t="s">
        <v>42</v>
      </c>
      <c r="D42" s="30" t="s">
        <v>23</v>
      </c>
      <c r="E42" s="9">
        <v>1</v>
      </c>
      <c r="F42" s="9">
        <v>31</v>
      </c>
      <c r="G42" s="9">
        <v>13</v>
      </c>
      <c r="H42" s="9">
        <v>470</v>
      </c>
      <c r="I42" s="9">
        <v>600</v>
      </c>
      <c r="J42" s="10" t="s">
        <v>53</v>
      </c>
      <c r="K42" s="9">
        <v>30</v>
      </c>
      <c r="L42" s="9" t="s">
        <v>15</v>
      </c>
      <c r="M42" s="9">
        <v>544</v>
      </c>
      <c r="N42" s="9">
        <f t="shared" si="17"/>
        <v>270</v>
      </c>
      <c r="O42" s="9">
        <v>240</v>
      </c>
      <c r="P42" s="16">
        <f t="shared" si="18"/>
        <v>39.66666666666667</v>
      </c>
      <c r="Q42" s="16">
        <f t="shared" si="19"/>
        <v>77.73333333333335</v>
      </c>
      <c r="R42" s="9">
        <f t="shared" si="10"/>
        <v>13</v>
      </c>
      <c r="S42" s="16">
        <f t="shared" si="20"/>
        <v>1.56</v>
      </c>
      <c r="T42" s="16">
        <f t="shared" si="11"/>
        <v>48.20000000000001</v>
      </c>
      <c r="U42" s="101" t="s">
        <v>315</v>
      </c>
      <c r="V42" s="121">
        <v>10</v>
      </c>
      <c r="W42" s="9" t="s">
        <v>90</v>
      </c>
      <c r="X42" s="9">
        <v>400</v>
      </c>
      <c r="Y42" s="9">
        <v>200</v>
      </c>
      <c r="Z42" s="9">
        <v>600</v>
      </c>
      <c r="AA42" s="63">
        <f aca="true" t="shared" si="24" ref="AA42:AA47">((Y42*0.9)+10)*Z42*0.816*1.02/380</f>
        <v>249.696</v>
      </c>
      <c r="AB42" s="63">
        <f t="shared" si="21"/>
        <v>172.99446337868733</v>
      </c>
      <c r="AC42" s="38">
        <f t="shared" si="22"/>
        <v>17.171293333333335</v>
      </c>
      <c r="AD42" s="62" t="s">
        <v>92</v>
      </c>
      <c r="AE42" s="68">
        <f t="shared" si="23"/>
        <v>124.848</v>
      </c>
    </row>
    <row r="43" spans="1:31" ht="11.25" customHeight="1">
      <c r="A43" s="9" t="s">
        <v>281</v>
      </c>
      <c r="B43" s="9" t="s">
        <v>259</v>
      </c>
      <c r="C43" s="9" t="s">
        <v>43</v>
      </c>
      <c r="D43" s="30" t="s">
        <v>23</v>
      </c>
      <c r="E43" s="9">
        <v>1</v>
      </c>
      <c r="F43" s="9">
        <v>31</v>
      </c>
      <c r="G43" s="9">
        <v>13</v>
      </c>
      <c r="H43" s="9">
        <v>500</v>
      </c>
      <c r="I43" s="33">
        <v>600</v>
      </c>
      <c r="J43" s="10" t="s">
        <v>53</v>
      </c>
      <c r="K43" s="9">
        <v>180</v>
      </c>
      <c r="L43" s="9" t="s">
        <v>148</v>
      </c>
      <c r="M43" s="9">
        <v>1658</v>
      </c>
      <c r="N43" s="9">
        <f t="shared" si="17"/>
        <v>270</v>
      </c>
      <c r="O43" s="9">
        <v>500</v>
      </c>
      <c r="P43" s="16">
        <f aca="true" t="shared" si="25" ref="P43:P52">(0.0282*(M43/O43))*1000</f>
        <v>93.51119999999999</v>
      </c>
      <c r="Q43" s="16">
        <f t="shared" si="19"/>
        <v>136.96232</v>
      </c>
      <c r="R43" s="9">
        <f t="shared" si="10"/>
        <v>13</v>
      </c>
      <c r="S43" s="16">
        <f t="shared" si="20"/>
        <v>1.56</v>
      </c>
      <c r="T43" s="16">
        <f t="shared" si="11"/>
        <v>83.737392</v>
      </c>
      <c r="U43" s="103" t="s">
        <v>315</v>
      </c>
      <c r="V43" s="121">
        <v>11</v>
      </c>
      <c r="W43" s="9" t="s">
        <v>90</v>
      </c>
      <c r="X43" s="9">
        <v>400</v>
      </c>
      <c r="Y43" s="9">
        <v>200</v>
      </c>
      <c r="Z43" s="9">
        <v>600</v>
      </c>
      <c r="AA43" s="63">
        <f t="shared" si="24"/>
        <v>249.696</v>
      </c>
      <c r="AB43" s="63">
        <f t="shared" si="21"/>
        <v>172.99446337868733</v>
      </c>
      <c r="AC43" s="38">
        <f t="shared" si="22"/>
        <v>34.24058</v>
      </c>
      <c r="AD43" s="62" t="s">
        <v>92</v>
      </c>
      <c r="AE43" s="68">
        <f t="shared" si="23"/>
        <v>124.848</v>
      </c>
    </row>
    <row r="44" spans="1:31" ht="11.25" customHeight="1">
      <c r="A44" s="9" t="s">
        <v>282</v>
      </c>
      <c r="B44" s="9" t="s">
        <v>260</v>
      </c>
      <c r="C44" s="9" t="s">
        <v>44</v>
      </c>
      <c r="D44" s="30" t="s">
        <v>23</v>
      </c>
      <c r="E44" s="9">
        <v>1</v>
      </c>
      <c r="F44" s="9">
        <v>31</v>
      </c>
      <c r="G44" s="9">
        <v>13</v>
      </c>
      <c r="H44" s="9">
        <v>510</v>
      </c>
      <c r="I44" s="33">
        <v>600</v>
      </c>
      <c r="J44" s="10" t="s">
        <v>53</v>
      </c>
      <c r="K44" s="9">
        <v>150</v>
      </c>
      <c r="L44" s="9" t="s">
        <v>148</v>
      </c>
      <c r="M44" s="9">
        <v>1598</v>
      </c>
      <c r="N44" s="9">
        <f t="shared" si="17"/>
        <v>270</v>
      </c>
      <c r="O44" s="9">
        <v>500</v>
      </c>
      <c r="P44" s="16">
        <f t="shared" si="25"/>
        <v>90.1272</v>
      </c>
      <c r="Q44" s="16">
        <f t="shared" si="19"/>
        <v>133.23992</v>
      </c>
      <c r="R44" s="9">
        <f t="shared" si="10"/>
        <v>13</v>
      </c>
      <c r="S44" s="16">
        <f t="shared" si="20"/>
        <v>1.56</v>
      </c>
      <c r="T44" s="16">
        <f t="shared" si="11"/>
        <v>81.50395200000001</v>
      </c>
      <c r="U44" s="103" t="s">
        <v>315</v>
      </c>
      <c r="V44" s="121">
        <v>12</v>
      </c>
      <c r="W44" s="9" t="s">
        <v>90</v>
      </c>
      <c r="X44" s="9">
        <v>400</v>
      </c>
      <c r="Y44" s="9">
        <v>200</v>
      </c>
      <c r="Z44" s="9">
        <v>600</v>
      </c>
      <c r="AA44" s="63">
        <f t="shared" si="24"/>
        <v>249.696</v>
      </c>
      <c r="AB44" s="63">
        <f t="shared" si="21"/>
        <v>172.99446337868733</v>
      </c>
      <c r="AC44" s="38">
        <f t="shared" si="22"/>
        <v>34.655703192000004</v>
      </c>
      <c r="AD44" s="62" t="s">
        <v>92</v>
      </c>
      <c r="AE44" s="68">
        <f t="shared" si="23"/>
        <v>124.848</v>
      </c>
    </row>
    <row r="45" spans="1:31" ht="11.25" customHeight="1">
      <c r="A45" s="9" t="s">
        <v>283</v>
      </c>
      <c r="B45" s="9" t="s">
        <v>261</v>
      </c>
      <c r="C45" s="9" t="s">
        <v>45</v>
      </c>
      <c r="D45" s="30" t="s">
        <v>23</v>
      </c>
      <c r="E45" s="9">
        <v>1</v>
      </c>
      <c r="F45" s="9">
        <v>31</v>
      </c>
      <c r="G45" s="9">
        <v>13</v>
      </c>
      <c r="H45" s="9">
        <v>410</v>
      </c>
      <c r="I45" s="33">
        <v>600</v>
      </c>
      <c r="J45" s="10" t="s">
        <v>53</v>
      </c>
      <c r="K45" s="9">
        <v>120</v>
      </c>
      <c r="L45" s="9" t="s">
        <v>148</v>
      </c>
      <c r="M45" s="9">
        <v>1538</v>
      </c>
      <c r="N45" s="9">
        <f t="shared" si="17"/>
        <v>270</v>
      </c>
      <c r="O45" s="9">
        <v>500</v>
      </c>
      <c r="P45" s="16">
        <f t="shared" si="25"/>
        <v>86.7432</v>
      </c>
      <c r="Q45" s="16">
        <f t="shared" si="19"/>
        <v>129.51752000000002</v>
      </c>
      <c r="R45" s="9">
        <f t="shared" si="10"/>
        <v>13</v>
      </c>
      <c r="S45" s="16">
        <f t="shared" si="20"/>
        <v>1.56</v>
      </c>
      <c r="T45" s="16">
        <f t="shared" si="11"/>
        <v>79.27051200000001</v>
      </c>
      <c r="U45" s="103" t="s">
        <v>315</v>
      </c>
      <c r="V45" s="121">
        <v>4</v>
      </c>
      <c r="W45" s="9" t="s">
        <v>90</v>
      </c>
      <c r="X45" s="9">
        <v>400</v>
      </c>
      <c r="Y45" s="9">
        <v>200</v>
      </c>
      <c r="Z45" s="9">
        <v>600</v>
      </c>
      <c r="AA45" s="63">
        <f t="shared" si="24"/>
        <v>249.696</v>
      </c>
      <c r="AB45" s="63">
        <f t="shared" si="21"/>
        <v>172.99446337868733</v>
      </c>
      <c r="AC45" s="38">
        <f t="shared" si="22"/>
        <v>21.771895112000003</v>
      </c>
      <c r="AD45" s="62" t="s">
        <v>92</v>
      </c>
      <c r="AE45" s="68">
        <f t="shared" si="23"/>
        <v>124.848</v>
      </c>
    </row>
    <row r="46" spans="1:31" ht="11.25" customHeight="1">
      <c r="A46" s="9" t="s">
        <v>284</v>
      </c>
      <c r="B46" s="9" t="s">
        <v>262</v>
      </c>
      <c r="C46" s="9" t="s">
        <v>46</v>
      </c>
      <c r="D46" s="30" t="s">
        <v>23</v>
      </c>
      <c r="E46" s="9">
        <v>1</v>
      </c>
      <c r="F46" s="9">
        <v>31</v>
      </c>
      <c r="G46" s="9">
        <v>13</v>
      </c>
      <c r="H46" s="9">
        <v>460</v>
      </c>
      <c r="I46" s="33">
        <v>600</v>
      </c>
      <c r="J46" s="10" t="s">
        <v>53</v>
      </c>
      <c r="K46" s="9">
        <v>90</v>
      </c>
      <c r="L46" s="9" t="s">
        <v>148</v>
      </c>
      <c r="M46" s="9">
        <v>1478</v>
      </c>
      <c r="N46" s="9">
        <f t="shared" si="17"/>
        <v>270</v>
      </c>
      <c r="O46" s="9">
        <v>500</v>
      </c>
      <c r="P46" s="16">
        <f t="shared" si="25"/>
        <v>83.3592</v>
      </c>
      <c r="Q46" s="16">
        <f t="shared" si="19"/>
        <v>125.79512000000001</v>
      </c>
      <c r="R46" s="9">
        <f t="shared" si="10"/>
        <v>13</v>
      </c>
      <c r="S46" s="16">
        <f t="shared" si="20"/>
        <v>1.56</v>
      </c>
      <c r="T46" s="16">
        <f t="shared" si="11"/>
        <v>77.03707200000001</v>
      </c>
      <c r="U46" s="103" t="s">
        <v>315</v>
      </c>
      <c r="V46" s="121">
        <v>5</v>
      </c>
      <c r="W46" s="9" t="s">
        <v>90</v>
      </c>
      <c r="X46" s="9">
        <v>400</v>
      </c>
      <c r="Y46" s="9">
        <v>200</v>
      </c>
      <c r="Z46" s="9">
        <v>600</v>
      </c>
      <c r="AA46" s="63">
        <f t="shared" si="24"/>
        <v>249.696</v>
      </c>
      <c r="AB46" s="63">
        <f t="shared" si="21"/>
        <v>172.99446337868733</v>
      </c>
      <c r="AC46" s="38">
        <f t="shared" si="22"/>
        <v>26.618247392</v>
      </c>
      <c r="AD46" s="62" t="s">
        <v>92</v>
      </c>
      <c r="AE46" s="68">
        <f t="shared" si="23"/>
        <v>124.848</v>
      </c>
    </row>
    <row r="47" spans="1:31" ht="11.25" customHeight="1">
      <c r="A47" s="9" t="s">
        <v>285</v>
      </c>
      <c r="B47" s="9" t="s">
        <v>263</v>
      </c>
      <c r="C47" s="9" t="s">
        <v>47</v>
      </c>
      <c r="D47" s="30" t="s">
        <v>23</v>
      </c>
      <c r="E47" s="9">
        <v>1</v>
      </c>
      <c r="F47" s="9">
        <v>31</v>
      </c>
      <c r="G47" s="9">
        <v>13</v>
      </c>
      <c r="H47" s="9">
        <v>390</v>
      </c>
      <c r="I47" s="33">
        <v>600</v>
      </c>
      <c r="J47" s="10" t="s">
        <v>53</v>
      </c>
      <c r="K47" s="9">
        <v>60</v>
      </c>
      <c r="L47" s="9" t="s">
        <v>148</v>
      </c>
      <c r="M47" s="9">
        <v>1416</v>
      </c>
      <c r="N47" s="9">
        <f t="shared" si="17"/>
        <v>270</v>
      </c>
      <c r="O47" s="9">
        <v>500</v>
      </c>
      <c r="P47" s="16">
        <f t="shared" si="25"/>
        <v>79.8624</v>
      </c>
      <c r="Q47" s="16">
        <f t="shared" si="19"/>
        <v>121.94864</v>
      </c>
      <c r="R47" s="9">
        <f t="shared" si="10"/>
        <v>13</v>
      </c>
      <c r="S47" s="16">
        <f t="shared" si="20"/>
        <v>1.56</v>
      </c>
      <c r="T47" s="16">
        <f t="shared" si="11"/>
        <v>74.729184</v>
      </c>
      <c r="U47" s="103" t="s">
        <v>315</v>
      </c>
      <c r="V47" s="121">
        <v>6</v>
      </c>
      <c r="W47" s="9" t="s">
        <v>90</v>
      </c>
      <c r="X47" s="9">
        <v>400</v>
      </c>
      <c r="Y47" s="9">
        <v>200</v>
      </c>
      <c r="Z47" s="9">
        <v>600</v>
      </c>
      <c r="AA47" s="63">
        <f t="shared" si="24"/>
        <v>249.696</v>
      </c>
      <c r="AB47" s="63">
        <f t="shared" si="21"/>
        <v>172.99446337868733</v>
      </c>
      <c r="AC47" s="38">
        <f>((H47^2)*Q47)/1000000</f>
        <v>18.548388144</v>
      </c>
      <c r="AD47" s="62" t="s">
        <v>92</v>
      </c>
      <c r="AE47" s="68">
        <f t="shared" si="23"/>
        <v>124.848</v>
      </c>
    </row>
    <row r="48" spans="1:31" ht="11.25" customHeight="1">
      <c r="A48" s="9" t="s">
        <v>286</v>
      </c>
      <c r="B48" s="9" t="s">
        <v>264</v>
      </c>
      <c r="C48" s="9" t="s">
        <v>48</v>
      </c>
      <c r="D48" s="30" t="s">
        <v>23</v>
      </c>
      <c r="E48" s="9">
        <v>1</v>
      </c>
      <c r="F48" s="9">
        <v>31</v>
      </c>
      <c r="G48" s="9">
        <v>13</v>
      </c>
      <c r="H48" s="9">
        <v>220</v>
      </c>
      <c r="I48" s="33">
        <v>400</v>
      </c>
      <c r="J48" s="10" t="s">
        <v>53</v>
      </c>
      <c r="K48" s="9">
        <v>30</v>
      </c>
      <c r="L48" s="9" t="s">
        <v>148</v>
      </c>
      <c r="M48" s="9">
        <v>1356</v>
      </c>
      <c r="N48" s="9">
        <f t="shared" si="17"/>
        <v>180</v>
      </c>
      <c r="O48" s="9">
        <v>500</v>
      </c>
      <c r="P48" s="16">
        <f t="shared" si="25"/>
        <v>76.47840000000001</v>
      </c>
      <c r="Q48" s="16">
        <f t="shared" si="19"/>
        <v>118.22624000000002</v>
      </c>
      <c r="R48" s="9">
        <f t="shared" si="10"/>
        <v>13</v>
      </c>
      <c r="S48" s="16">
        <f t="shared" si="20"/>
        <v>1.04</v>
      </c>
      <c r="T48" s="16">
        <f t="shared" si="11"/>
        <v>48.33049600000001</v>
      </c>
      <c r="U48" s="105" t="s">
        <v>313</v>
      </c>
      <c r="V48" s="121">
        <v>3</v>
      </c>
      <c r="W48" s="9" t="s">
        <v>90</v>
      </c>
      <c r="X48" s="9">
        <v>400</v>
      </c>
      <c r="Y48" s="9">
        <v>100</v>
      </c>
      <c r="Z48" s="9">
        <v>360</v>
      </c>
      <c r="AA48" s="63">
        <f>((Y48*0.9)+10)*I48*0.816*1.02/380</f>
        <v>87.61263157894736</v>
      </c>
      <c r="AB48" s="63">
        <f t="shared" si="21"/>
        <v>60.69981171182012</v>
      </c>
      <c r="AC48" s="38">
        <f t="shared" si="22"/>
        <v>5.7221500160000005</v>
      </c>
      <c r="AD48" s="62" t="s">
        <v>91</v>
      </c>
      <c r="AE48" s="68">
        <f t="shared" si="23"/>
        <v>43.80631578947368</v>
      </c>
    </row>
    <row r="49" spans="1:31" ht="11.25" customHeight="1">
      <c r="A49" s="9" t="s">
        <v>338</v>
      </c>
      <c r="B49" s="9" t="s">
        <v>344</v>
      </c>
      <c r="C49" s="9" t="s">
        <v>49</v>
      </c>
      <c r="D49" s="30" t="s">
        <v>23</v>
      </c>
      <c r="E49" s="9">
        <v>1</v>
      </c>
      <c r="F49" s="9">
        <v>31</v>
      </c>
      <c r="G49" s="9">
        <v>13</v>
      </c>
      <c r="H49" s="9">
        <v>320</v>
      </c>
      <c r="I49" s="33">
        <v>500</v>
      </c>
      <c r="J49" s="10" t="s">
        <v>53</v>
      </c>
      <c r="K49" s="9">
        <v>0</v>
      </c>
      <c r="L49" s="9" t="s">
        <v>148</v>
      </c>
      <c r="M49" s="9">
        <v>1270</v>
      </c>
      <c r="N49" s="9">
        <f t="shared" si="17"/>
        <v>225</v>
      </c>
      <c r="O49" s="9">
        <v>500</v>
      </c>
      <c r="P49" s="16">
        <f t="shared" si="25"/>
        <v>71.628</v>
      </c>
      <c r="Q49" s="16">
        <f t="shared" si="19"/>
        <v>112.89080000000001</v>
      </c>
      <c r="R49" s="9">
        <f t="shared" si="10"/>
        <v>13</v>
      </c>
      <c r="S49" s="16">
        <f t="shared" si="20"/>
        <v>1.3</v>
      </c>
      <c r="T49" s="16">
        <f t="shared" si="11"/>
        <v>57.745400000000004</v>
      </c>
      <c r="U49" s="105" t="s">
        <v>312</v>
      </c>
      <c r="V49" s="121">
        <v>6</v>
      </c>
      <c r="W49" s="9" t="s">
        <v>90</v>
      </c>
      <c r="X49" s="9">
        <v>400</v>
      </c>
      <c r="Y49" s="9">
        <v>105</v>
      </c>
      <c r="Z49" s="9">
        <v>490</v>
      </c>
      <c r="AA49" s="63">
        <f>((Y49*0.9)+10)*I49*0.816*1.02/380</f>
        <v>114.444</v>
      </c>
      <c r="AB49" s="63">
        <f t="shared" si="21"/>
        <v>79.28912904856503</v>
      </c>
      <c r="AC49" s="38">
        <f t="shared" si="22"/>
        <v>11.560017920000002</v>
      </c>
      <c r="AD49" s="62" t="s">
        <v>93</v>
      </c>
      <c r="AE49" s="68">
        <f t="shared" si="23"/>
        <v>57.222</v>
      </c>
    </row>
    <row r="50" spans="1:31" ht="11.25" customHeight="1">
      <c r="A50" s="9" t="s">
        <v>339</v>
      </c>
      <c r="B50" s="9" t="s">
        <v>265</v>
      </c>
      <c r="C50" s="9" t="s">
        <v>50</v>
      </c>
      <c r="D50" s="30" t="s">
        <v>23</v>
      </c>
      <c r="E50" s="9">
        <v>1</v>
      </c>
      <c r="F50" s="9">
        <v>31</v>
      </c>
      <c r="G50" s="9">
        <v>13</v>
      </c>
      <c r="H50" s="9">
        <v>380</v>
      </c>
      <c r="I50" s="9">
        <v>500</v>
      </c>
      <c r="J50" s="10" t="s">
        <v>53</v>
      </c>
      <c r="K50" s="9">
        <v>-20</v>
      </c>
      <c r="L50" s="9" t="s">
        <v>148</v>
      </c>
      <c r="M50" s="9">
        <v>1246</v>
      </c>
      <c r="N50" s="9">
        <f t="shared" si="17"/>
        <v>225</v>
      </c>
      <c r="O50" s="9">
        <v>500</v>
      </c>
      <c r="P50" s="16">
        <f t="shared" si="25"/>
        <v>70.2744</v>
      </c>
      <c r="Q50" s="16">
        <f t="shared" si="19"/>
        <v>111.40184</v>
      </c>
      <c r="R50" s="9">
        <f t="shared" si="10"/>
        <v>13</v>
      </c>
      <c r="S50" s="16">
        <f t="shared" si="20"/>
        <v>1.3</v>
      </c>
      <c r="T50" s="16">
        <f t="shared" si="11"/>
        <v>57.00092</v>
      </c>
      <c r="U50" s="105" t="s">
        <v>312</v>
      </c>
      <c r="V50" s="121">
        <v>1</v>
      </c>
      <c r="W50" s="9" t="s">
        <v>90</v>
      </c>
      <c r="X50" s="9">
        <v>400</v>
      </c>
      <c r="Y50" s="9">
        <v>105</v>
      </c>
      <c r="Z50" s="9">
        <v>490</v>
      </c>
      <c r="AA50" s="63">
        <f>((Y50*0.9)+10)*I50*0.816*1.02/380</f>
        <v>114.444</v>
      </c>
      <c r="AB50" s="63">
        <f t="shared" si="21"/>
        <v>79.28912904856503</v>
      </c>
      <c r="AC50" s="38">
        <f t="shared" si="22"/>
        <v>16.086425696</v>
      </c>
      <c r="AD50" s="62" t="s">
        <v>93</v>
      </c>
      <c r="AE50" s="68">
        <f t="shared" si="23"/>
        <v>57.222</v>
      </c>
    </row>
    <row r="51" spans="1:31" ht="11.25" customHeight="1">
      <c r="A51" s="9" t="s">
        <v>287</v>
      </c>
      <c r="B51" s="9" t="s">
        <v>266</v>
      </c>
      <c r="C51" s="9" t="s">
        <v>51</v>
      </c>
      <c r="D51" s="30" t="s">
        <v>23</v>
      </c>
      <c r="E51" s="9">
        <v>1</v>
      </c>
      <c r="F51" s="9">
        <v>31</v>
      </c>
      <c r="G51" s="9">
        <v>13</v>
      </c>
      <c r="H51" s="9">
        <v>150</v>
      </c>
      <c r="I51" s="9">
        <v>300</v>
      </c>
      <c r="J51" s="10" t="s">
        <v>53</v>
      </c>
      <c r="K51" s="9">
        <v>-60</v>
      </c>
      <c r="L51" s="9" t="s">
        <v>148</v>
      </c>
      <c r="M51" s="9">
        <v>1146</v>
      </c>
      <c r="N51" s="9">
        <f t="shared" si="17"/>
        <v>135</v>
      </c>
      <c r="O51" s="9">
        <v>500</v>
      </c>
      <c r="P51" s="16">
        <f t="shared" si="25"/>
        <v>64.6344</v>
      </c>
      <c r="Q51" s="16">
        <f t="shared" si="19"/>
        <v>105.19784000000001</v>
      </c>
      <c r="R51" s="9">
        <f t="shared" si="10"/>
        <v>13</v>
      </c>
      <c r="S51" s="16">
        <f t="shared" si="20"/>
        <v>0.78</v>
      </c>
      <c r="T51" s="16">
        <f t="shared" si="11"/>
        <v>32.339352000000005</v>
      </c>
      <c r="U51" s="105" t="s">
        <v>316</v>
      </c>
      <c r="V51" s="121">
        <v>13</v>
      </c>
      <c r="W51" s="9" t="s">
        <v>90</v>
      </c>
      <c r="X51" s="9">
        <v>400</v>
      </c>
      <c r="Y51" s="9">
        <v>200</v>
      </c>
      <c r="Z51" s="9">
        <v>300</v>
      </c>
      <c r="AA51" s="63">
        <f>((Y51*0.9)+10)*Z51*0.816*1.02/380</f>
        <v>124.848</v>
      </c>
      <c r="AB51" s="63">
        <f t="shared" si="21"/>
        <v>86.49723168934366</v>
      </c>
      <c r="AC51" s="38">
        <f t="shared" si="22"/>
        <v>2.3669514000000005</v>
      </c>
      <c r="AD51" s="62" t="s">
        <v>93</v>
      </c>
      <c r="AE51" s="68">
        <f t="shared" si="23"/>
        <v>62.424</v>
      </c>
    </row>
    <row r="52" spans="1:31" ht="11.25" customHeight="1" thickBot="1">
      <c r="A52" s="31" t="s">
        <v>288</v>
      </c>
      <c r="B52" s="31" t="s">
        <v>267</v>
      </c>
      <c r="C52" s="31" t="s">
        <v>52</v>
      </c>
      <c r="D52" s="32" t="s">
        <v>23</v>
      </c>
      <c r="E52" s="31">
        <v>1</v>
      </c>
      <c r="F52" s="31">
        <v>31</v>
      </c>
      <c r="G52" s="31">
        <v>13</v>
      </c>
      <c r="H52" s="31">
        <v>280</v>
      </c>
      <c r="I52" s="58">
        <v>500</v>
      </c>
      <c r="J52" s="40" t="s">
        <v>53</v>
      </c>
      <c r="K52" s="31">
        <v>-90</v>
      </c>
      <c r="L52" s="31" t="s">
        <v>148</v>
      </c>
      <c r="M52" s="31">
        <v>1076</v>
      </c>
      <c r="N52" s="31">
        <f t="shared" si="17"/>
        <v>225</v>
      </c>
      <c r="O52" s="31">
        <v>500</v>
      </c>
      <c r="P52" s="41">
        <f t="shared" si="25"/>
        <v>60.6864</v>
      </c>
      <c r="Q52" s="41">
        <f t="shared" si="19"/>
        <v>100.85504</v>
      </c>
      <c r="R52" s="31">
        <f t="shared" si="10"/>
        <v>13</v>
      </c>
      <c r="S52" s="41">
        <f t="shared" si="20"/>
        <v>1.3</v>
      </c>
      <c r="T52" s="41">
        <f t="shared" si="11"/>
        <v>51.72752</v>
      </c>
      <c r="U52" s="107" t="s">
        <v>312</v>
      </c>
      <c r="V52" s="127">
        <v>8</v>
      </c>
      <c r="W52" s="31" t="s">
        <v>90</v>
      </c>
      <c r="X52" s="31">
        <v>400</v>
      </c>
      <c r="Y52" s="31">
        <v>105</v>
      </c>
      <c r="Z52" s="31">
        <v>490</v>
      </c>
      <c r="AA52" s="63">
        <f>((Y52*0.9)+10)*I52*0.816*1.02/380</f>
        <v>114.444</v>
      </c>
      <c r="AB52" s="75">
        <f t="shared" si="21"/>
        <v>79.28912904856503</v>
      </c>
      <c r="AC52" s="59">
        <f>((H52^2)*Q52)/1000000</f>
        <v>7.907035136</v>
      </c>
      <c r="AD52" s="77" t="s">
        <v>93</v>
      </c>
      <c r="AE52" s="70">
        <f t="shared" si="23"/>
        <v>57.222</v>
      </c>
    </row>
    <row r="53" spans="1:31" ht="11.25" customHeight="1">
      <c r="A53" s="43"/>
      <c r="B53" s="99" t="s">
        <v>309</v>
      </c>
      <c r="C53" s="43"/>
      <c r="D53" s="43"/>
      <c r="E53" s="43"/>
      <c r="F53" s="43"/>
      <c r="G53" s="43"/>
      <c r="H53" s="43"/>
      <c r="I53" s="43" t="s">
        <v>205</v>
      </c>
      <c r="J53" s="44"/>
      <c r="K53" s="43"/>
      <c r="L53" s="43" t="s">
        <v>117</v>
      </c>
      <c r="M53" s="43"/>
      <c r="N53" s="43"/>
      <c r="O53" s="43"/>
      <c r="P53" s="45"/>
      <c r="Q53" s="45"/>
      <c r="R53" s="43"/>
      <c r="S53" s="45"/>
      <c r="T53" s="45"/>
      <c r="U53" s="43" t="s">
        <v>174</v>
      </c>
      <c r="V53" s="123"/>
      <c r="W53" s="43" t="s">
        <v>95</v>
      </c>
      <c r="X53" s="43">
        <v>400</v>
      </c>
      <c r="Y53" s="43">
        <v>700</v>
      </c>
      <c r="Z53" s="43" t="s">
        <v>181</v>
      </c>
      <c r="AA53" s="43"/>
      <c r="AB53" s="43"/>
      <c r="AC53" s="46">
        <v>0</v>
      </c>
      <c r="AD53" s="78" t="s">
        <v>130</v>
      </c>
      <c r="AE53" s="86"/>
    </row>
    <row r="54" spans="1:31" ht="11.25" customHeight="1">
      <c r="A54" s="9"/>
      <c r="B54" s="98" t="s">
        <v>310</v>
      </c>
      <c r="C54" s="9"/>
      <c r="D54" s="9"/>
      <c r="E54" s="9"/>
      <c r="F54" s="9"/>
      <c r="G54" s="9"/>
      <c r="H54" s="9"/>
      <c r="I54" s="9"/>
      <c r="J54" s="10"/>
      <c r="K54" s="9"/>
      <c r="L54" s="9" t="s">
        <v>117</v>
      </c>
      <c r="M54" s="9"/>
      <c r="N54" s="9"/>
      <c r="O54" s="9"/>
      <c r="P54" s="16"/>
      <c r="Q54" s="16"/>
      <c r="R54" s="9"/>
      <c r="S54" s="16"/>
      <c r="T54" s="16"/>
      <c r="U54" s="9" t="s">
        <v>176</v>
      </c>
      <c r="V54" s="122"/>
      <c r="W54" s="9" t="s">
        <v>95</v>
      </c>
      <c r="X54" s="9">
        <v>18000</v>
      </c>
      <c r="Y54" s="9">
        <v>90</v>
      </c>
      <c r="Z54" s="9">
        <v>24000</v>
      </c>
      <c r="AA54" s="9"/>
      <c r="AB54" s="9"/>
      <c r="AC54" s="42">
        <v>0</v>
      </c>
      <c r="AD54" s="62" t="s">
        <v>131</v>
      </c>
      <c r="AE54" s="68"/>
    </row>
    <row r="55" spans="1:31" ht="11.25" customHeight="1">
      <c r="A55" s="9"/>
      <c r="B55" s="101" t="s">
        <v>335</v>
      </c>
      <c r="C55" s="9"/>
      <c r="D55" s="9"/>
      <c r="E55" s="9"/>
      <c r="F55" s="9"/>
      <c r="G55" s="9"/>
      <c r="H55" s="9"/>
      <c r="I55" s="9" t="s">
        <v>206</v>
      </c>
      <c r="J55" s="10"/>
      <c r="K55" s="9"/>
      <c r="L55" s="9" t="s">
        <v>15</v>
      </c>
      <c r="M55" s="9"/>
      <c r="N55" s="9"/>
      <c r="O55" s="9"/>
      <c r="P55" s="16"/>
      <c r="Q55" s="16"/>
      <c r="R55" s="9"/>
      <c r="S55" s="16"/>
      <c r="T55" s="16"/>
      <c r="U55" s="9" t="s">
        <v>333</v>
      </c>
      <c r="V55" s="122">
        <v>5</v>
      </c>
      <c r="W55" s="9" t="s">
        <v>90</v>
      </c>
      <c r="X55" s="9">
        <v>400</v>
      </c>
      <c r="Y55" s="9">
        <v>350</v>
      </c>
      <c r="Z55" s="33">
        <v>720</v>
      </c>
      <c r="AA55" s="33"/>
      <c r="AB55" s="33"/>
      <c r="AC55" s="42">
        <f t="shared" si="22"/>
        <v>0</v>
      </c>
      <c r="AD55" s="62" t="s">
        <v>92</v>
      </c>
      <c r="AE55" s="68">
        <v>256</v>
      </c>
    </row>
    <row r="56" spans="1:31" ht="11.25" customHeight="1">
      <c r="A56" s="9"/>
      <c r="B56" s="103" t="s">
        <v>342</v>
      </c>
      <c r="C56" s="9"/>
      <c r="D56" s="9"/>
      <c r="E56" s="9"/>
      <c r="F56" s="9"/>
      <c r="G56" s="9"/>
      <c r="H56" s="9"/>
      <c r="I56" s="9" t="s">
        <v>207</v>
      </c>
      <c r="J56" s="10"/>
      <c r="K56" s="9"/>
      <c r="L56" s="9" t="s">
        <v>148</v>
      </c>
      <c r="M56" s="9"/>
      <c r="N56" s="9"/>
      <c r="O56" s="9"/>
      <c r="P56" s="16"/>
      <c r="Q56" s="16"/>
      <c r="R56" s="9"/>
      <c r="S56" s="16"/>
      <c r="T56" s="16"/>
      <c r="U56" s="9" t="s">
        <v>330</v>
      </c>
      <c r="V56" s="122">
        <v>4</v>
      </c>
      <c r="W56" s="9" t="s">
        <v>90</v>
      </c>
      <c r="X56" s="9">
        <v>400</v>
      </c>
      <c r="Y56" s="9">
        <v>350</v>
      </c>
      <c r="Z56" s="33">
        <v>720</v>
      </c>
      <c r="AA56" s="33"/>
      <c r="AB56" s="33"/>
      <c r="AC56" s="42">
        <f>((H56^2)*Q56)/1000000</f>
        <v>0</v>
      </c>
      <c r="AD56" s="62" t="s">
        <v>92</v>
      </c>
      <c r="AE56" s="21">
        <v>256</v>
      </c>
    </row>
    <row r="57" spans="1:31" ht="11.25" customHeight="1">
      <c r="A57" s="9"/>
      <c r="B57" s="105" t="s">
        <v>343</v>
      </c>
      <c r="C57" s="9"/>
      <c r="D57" s="9"/>
      <c r="E57" s="9"/>
      <c r="F57" s="9"/>
      <c r="G57" s="9"/>
      <c r="H57" s="9"/>
      <c r="I57" s="9" t="s">
        <v>205</v>
      </c>
      <c r="J57" s="10"/>
      <c r="K57" s="9"/>
      <c r="L57" s="9" t="s">
        <v>148</v>
      </c>
      <c r="M57" s="9"/>
      <c r="N57" s="9"/>
      <c r="O57" s="9"/>
      <c r="P57" s="16"/>
      <c r="Q57" s="16"/>
      <c r="R57" s="9"/>
      <c r="S57" s="16"/>
      <c r="T57" s="16"/>
      <c r="U57" s="9" t="s">
        <v>333</v>
      </c>
      <c r="V57" s="122">
        <v>9</v>
      </c>
      <c r="W57" s="9" t="s">
        <v>90</v>
      </c>
      <c r="X57" s="9">
        <v>400</v>
      </c>
      <c r="Y57" s="9">
        <v>350</v>
      </c>
      <c r="Z57" s="33">
        <v>720</v>
      </c>
      <c r="AA57" s="33"/>
      <c r="AB57" s="33"/>
      <c r="AC57" s="42">
        <f>((H57^2)*Q57)/1000000</f>
        <v>0</v>
      </c>
      <c r="AD57" s="62" t="s">
        <v>92</v>
      </c>
      <c r="AE57" s="21">
        <v>256</v>
      </c>
    </row>
    <row r="58" spans="1:31" ht="11.25" customHeight="1" thickBot="1">
      <c r="A58" s="22"/>
      <c r="B58" s="106" t="s">
        <v>332</v>
      </c>
      <c r="C58" s="22"/>
      <c r="D58" s="22"/>
      <c r="E58" s="22"/>
      <c r="F58" s="22"/>
      <c r="G58" s="22"/>
      <c r="H58" s="22"/>
      <c r="I58" s="22" t="s">
        <v>208</v>
      </c>
      <c r="J58" s="23"/>
      <c r="K58" s="22"/>
      <c r="L58" s="22" t="s">
        <v>148</v>
      </c>
      <c r="M58" s="22"/>
      <c r="N58" s="22"/>
      <c r="O58" s="22"/>
      <c r="P58" s="24"/>
      <c r="Q58" s="24"/>
      <c r="R58" s="22"/>
      <c r="S58" s="24"/>
      <c r="T58" s="24"/>
      <c r="U58" s="47" t="s">
        <v>331</v>
      </c>
      <c r="V58" s="124">
        <v>3</v>
      </c>
      <c r="W58" s="22" t="s">
        <v>90</v>
      </c>
      <c r="X58" s="22">
        <v>18000</v>
      </c>
      <c r="Y58" s="22">
        <v>1300</v>
      </c>
      <c r="Z58" s="22">
        <v>840</v>
      </c>
      <c r="AA58" s="22"/>
      <c r="AB58" s="22"/>
      <c r="AC58" s="48">
        <f>((H58^2)*Q58)/1000000</f>
        <v>0</v>
      </c>
      <c r="AD58" s="79" t="s">
        <v>100</v>
      </c>
      <c r="AE58" s="70">
        <v>23</v>
      </c>
    </row>
    <row r="59" spans="1:30" ht="11.2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8"/>
      <c r="L59" s="8"/>
      <c r="M59" s="8"/>
      <c r="N59" s="8"/>
      <c r="O59" s="8"/>
      <c r="P59" s="35"/>
      <c r="Q59" s="35"/>
      <c r="R59" s="8"/>
      <c r="S59" s="8"/>
      <c r="T59" s="35"/>
      <c r="U59" s="8"/>
      <c r="V59" s="8"/>
      <c r="W59" s="8"/>
      <c r="X59" s="8"/>
      <c r="Y59" s="8"/>
      <c r="Z59" s="8"/>
      <c r="AA59" s="8"/>
      <c r="AB59" s="8"/>
      <c r="AC59" s="35">
        <f>SUM(AC17:AC22,AC24:AC27,AC29:AC35,AC37:AC58)</f>
        <v>10706.076539299153</v>
      </c>
      <c r="AD59" s="8"/>
    </row>
    <row r="60" spans="1:32" ht="11.25" customHeight="1" thickBot="1">
      <c r="A60" s="128"/>
      <c r="B60" s="128"/>
      <c r="C60" s="128"/>
      <c r="D60" s="128"/>
      <c r="E60" s="128"/>
      <c r="F60" s="8"/>
      <c r="G60" s="8"/>
      <c r="H60" s="8"/>
      <c r="I60" s="8"/>
      <c r="J60" s="8"/>
      <c r="K60" s="8"/>
      <c r="L60" s="8"/>
      <c r="M60" s="8"/>
      <c r="N60" s="8"/>
      <c r="O60" s="8"/>
      <c r="P60" s="35"/>
      <c r="Q60" s="35"/>
      <c r="R60" s="8"/>
      <c r="T60" s="6"/>
      <c r="W60" s="6" t="s">
        <v>193</v>
      </c>
      <c r="X60" s="8" t="s">
        <v>213</v>
      </c>
      <c r="Y60" s="8" t="s">
        <v>306</v>
      </c>
      <c r="AD60" s="8"/>
      <c r="AF60" s="65"/>
    </row>
    <row r="61" spans="1:32" ht="11.25" customHeight="1">
      <c r="A61" s="39"/>
      <c r="B61" s="39"/>
      <c r="C61" s="39"/>
      <c r="D61" s="39"/>
      <c r="E61" s="128" t="s">
        <v>357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66" t="s">
        <v>195</v>
      </c>
      <c r="T61" s="43"/>
      <c r="U61" s="96"/>
      <c r="V61" s="118"/>
      <c r="W61" s="93">
        <f>SUM(AB24:AB25,AB27,AB34)</f>
        <v>16975.94669135059</v>
      </c>
      <c r="X61" s="90">
        <f>W61/2</f>
        <v>8487.973345675295</v>
      </c>
      <c r="Y61" s="87">
        <f>X61/(18*3^0.5)</f>
        <v>272.251872</v>
      </c>
      <c r="AD61" s="8"/>
      <c r="AE61" s="15"/>
      <c r="AF61" s="65"/>
    </row>
    <row r="62" spans="1:31" ht="11.25" customHeight="1">
      <c r="A62" s="39"/>
      <c r="B62" s="39"/>
      <c r="C62" s="39"/>
      <c r="D62" s="39"/>
      <c r="E62" s="128" t="s">
        <v>150</v>
      </c>
      <c r="F62" s="128"/>
      <c r="G62" s="128"/>
      <c r="H62" s="128"/>
      <c r="I62" s="128"/>
      <c r="J62" s="128"/>
      <c r="K62" s="8"/>
      <c r="L62" s="8"/>
      <c r="M62" s="8"/>
      <c r="N62" s="8"/>
      <c r="O62" s="8"/>
      <c r="P62" s="8"/>
      <c r="Q62" s="8"/>
      <c r="R62" s="8"/>
      <c r="S62" s="67" t="s">
        <v>196</v>
      </c>
      <c r="T62" s="9"/>
      <c r="U62" s="21"/>
      <c r="V62" s="119"/>
      <c r="W62" s="94">
        <f>SUM(AB26,AB30,AB31,AB35,AB43:AB52)</f>
        <v>2953.2431141681113</v>
      </c>
      <c r="X62" s="91">
        <f>W62/2</f>
        <v>1476.6215570840557</v>
      </c>
      <c r="Y62" s="88">
        <f>X62/(18*3^0.5)</f>
        <v>47.362658526315776</v>
      </c>
      <c r="AD62" s="8"/>
      <c r="AE62" s="15"/>
    </row>
    <row r="63" spans="1:30" ht="11.25" customHeight="1">
      <c r="A63" s="39"/>
      <c r="B63" s="39"/>
      <c r="C63" s="39"/>
      <c r="D63" s="39"/>
      <c r="E63" s="39" t="s">
        <v>120</v>
      </c>
      <c r="F63" s="39"/>
      <c r="G63" s="39"/>
      <c r="H63" s="39"/>
      <c r="I63" s="39"/>
      <c r="J63" s="39"/>
      <c r="K63" s="8"/>
      <c r="L63" s="8"/>
      <c r="M63" s="8"/>
      <c r="N63" s="8"/>
      <c r="O63" s="8"/>
      <c r="P63" s="8"/>
      <c r="Q63" s="8"/>
      <c r="R63" s="8"/>
      <c r="S63" s="67" t="s">
        <v>197</v>
      </c>
      <c r="T63" s="9"/>
      <c r="U63" s="21"/>
      <c r="V63" s="119"/>
      <c r="W63" s="94">
        <f>SUM(AB33,AB29)</f>
        <v>2405.7763373862786</v>
      </c>
      <c r="X63" s="91">
        <f>W63/2</f>
        <v>1202.8881686931393</v>
      </c>
      <c r="Y63" s="88">
        <f>X63/(18*3^0.5)</f>
        <v>38.582656</v>
      </c>
      <c r="AD63" s="8"/>
    </row>
    <row r="64" spans="1:30" ht="11.25" customHeight="1" thickBot="1">
      <c r="A64" s="39"/>
      <c r="B64" s="39"/>
      <c r="C64" s="39"/>
      <c r="D64" s="39"/>
      <c r="E64" s="39" t="s">
        <v>358</v>
      </c>
      <c r="F64" s="39"/>
      <c r="G64" s="39"/>
      <c r="H64" s="39"/>
      <c r="I64" s="39"/>
      <c r="J64" s="39"/>
      <c r="K64" s="8"/>
      <c r="L64" s="8"/>
      <c r="M64" s="8"/>
      <c r="N64" s="8"/>
      <c r="O64" s="8"/>
      <c r="P64" s="8"/>
      <c r="Q64" s="8"/>
      <c r="R64" s="8"/>
      <c r="S64" s="69" t="s">
        <v>198</v>
      </c>
      <c r="T64" s="22"/>
      <c r="U64" s="25"/>
      <c r="V64" s="120"/>
      <c r="W64" s="95">
        <f>SUM(AB37:AB42)</f>
        <v>670.3990704511973</v>
      </c>
      <c r="X64" s="92">
        <f>W64/2</f>
        <v>335.19953522559865</v>
      </c>
      <c r="Y64" s="89">
        <f>X64/(18*3^0.5)</f>
        <v>10.751530105263157</v>
      </c>
      <c r="AD64" s="8"/>
    </row>
    <row r="65" spans="1:30" ht="11.25" customHeight="1">
      <c r="A65" s="39"/>
      <c r="B65" s="39"/>
      <c r="C65" s="39"/>
      <c r="D65" s="39"/>
      <c r="P65" s="6"/>
      <c r="S65" s="8"/>
      <c r="T65" s="35"/>
      <c r="U65" s="8"/>
      <c r="V65" s="8"/>
      <c r="W65" s="8"/>
      <c r="X65" s="8"/>
      <c r="Y65" s="8"/>
      <c r="Z65" s="8"/>
      <c r="AA65" s="8"/>
      <c r="AB65" s="35"/>
      <c r="AC65" s="8"/>
      <c r="AD65" s="8"/>
    </row>
    <row r="66" spans="1:31" s="34" customFormat="1" ht="48" customHeight="1">
      <c r="A66" s="132" t="s">
        <v>134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="34" customFormat="1" ht="20.25" customHeight="1"/>
    <row r="68" spans="1:31" s="34" customFormat="1" ht="12.75" customHeight="1" thickBot="1">
      <c r="A68" s="131" t="s">
        <v>356</v>
      </c>
      <c r="B68" s="131"/>
      <c r="C68" s="131"/>
      <c r="D68" s="131"/>
      <c r="E68" s="13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8"/>
    </row>
    <row r="69" spans="1:31" ht="11.25" customHeight="1">
      <c r="A69" s="17" t="s">
        <v>0</v>
      </c>
      <c r="B69" s="17" t="s">
        <v>77</v>
      </c>
      <c r="C69" s="17" t="s">
        <v>63</v>
      </c>
      <c r="D69" s="27" t="s">
        <v>63</v>
      </c>
      <c r="E69" s="17" t="s">
        <v>65</v>
      </c>
      <c r="F69" s="17" t="s">
        <v>4</v>
      </c>
      <c r="G69" s="17" t="s">
        <v>6</v>
      </c>
      <c r="H69" s="17" t="s">
        <v>110</v>
      </c>
      <c r="I69" s="17" t="s">
        <v>79</v>
      </c>
      <c r="J69" s="17" t="s">
        <v>80</v>
      </c>
      <c r="K69" s="17" t="s">
        <v>114</v>
      </c>
      <c r="L69" s="17" t="s">
        <v>81</v>
      </c>
      <c r="M69" s="18" t="s">
        <v>82</v>
      </c>
      <c r="N69" s="18" t="s">
        <v>94</v>
      </c>
      <c r="O69" s="17" t="s">
        <v>82</v>
      </c>
      <c r="P69" s="19" t="s">
        <v>82</v>
      </c>
      <c r="Q69" s="20" t="s">
        <v>86</v>
      </c>
      <c r="R69" s="17" t="s">
        <v>86</v>
      </c>
      <c r="S69" s="20" t="s">
        <v>72</v>
      </c>
      <c r="T69" s="19" t="s">
        <v>68</v>
      </c>
      <c r="U69" s="129" t="s">
        <v>77</v>
      </c>
      <c r="V69" s="130"/>
      <c r="W69" s="17" t="s">
        <v>88</v>
      </c>
      <c r="X69" s="17" t="s">
        <v>106</v>
      </c>
      <c r="Y69" s="20" t="s">
        <v>69</v>
      </c>
      <c r="Z69" s="17" t="s">
        <v>70</v>
      </c>
      <c r="AA69" s="17" t="s">
        <v>188</v>
      </c>
      <c r="AB69" s="17" t="s">
        <v>191</v>
      </c>
      <c r="AC69" s="17" t="s">
        <v>107</v>
      </c>
      <c r="AD69" s="20" t="s">
        <v>89</v>
      </c>
      <c r="AE69" s="80" t="s">
        <v>212</v>
      </c>
    </row>
    <row r="70" spans="1:31" ht="11.25" customHeight="1">
      <c r="A70" s="5" t="s">
        <v>78</v>
      </c>
      <c r="B70" s="5" t="s">
        <v>219</v>
      </c>
      <c r="C70" s="5" t="s">
        <v>78</v>
      </c>
      <c r="D70" s="28" t="s">
        <v>64</v>
      </c>
      <c r="E70" s="8" t="s">
        <v>119</v>
      </c>
      <c r="F70" s="5" t="s">
        <v>0</v>
      </c>
      <c r="G70" s="5" t="s">
        <v>7</v>
      </c>
      <c r="H70" s="5" t="s">
        <v>111</v>
      </c>
      <c r="I70" s="5" t="s">
        <v>136</v>
      </c>
      <c r="J70" s="5"/>
      <c r="K70" s="5" t="s">
        <v>112</v>
      </c>
      <c r="L70" s="5" t="s">
        <v>12</v>
      </c>
      <c r="M70" s="7" t="s">
        <v>83</v>
      </c>
      <c r="N70" s="7" t="s">
        <v>202</v>
      </c>
      <c r="O70" s="5" t="s">
        <v>85</v>
      </c>
      <c r="P70" s="13" t="s">
        <v>137</v>
      </c>
      <c r="Q70" s="8" t="s">
        <v>137</v>
      </c>
      <c r="R70" s="5" t="s">
        <v>138</v>
      </c>
      <c r="S70" s="8"/>
      <c r="T70" s="13"/>
      <c r="U70" s="28" t="s">
        <v>87</v>
      </c>
      <c r="V70" s="28" t="s">
        <v>349</v>
      </c>
      <c r="W70" s="5"/>
      <c r="X70" s="5"/>
      <c r="Y70" s="8" t="s">
        <v>118</v>
      </c>
      <c r="Z70" s="5" t="s">
        <v>118</v>
      </c>
      <c r="AA70" s="5" t="s">
        <v>189</v>
      </c>
      <c r="AB70" s="5" t="s">
        <v>192</v>
      </c>
      <c r="AC70" s="5" t="s">
        <v>108</v>
      </c>
      <c r="AD70" s="8" t="s">
        <v>105</v>
      </c>
      <c r="AE70" s="81" t="s">
        <v>213</v>
      </c>
    </row>
    <row r="71" spans="1:31" ht="11.25" customHeight="1">
      <c r="A71" s="5" t="s">
        <v>1</v>
      </c>
      <c r="B71" s="5"/>
      <c r="C71" s="5" t="s">
        <v>66</v>
      </c>
      <c r="D71" s="28"/>
      <c r="E71" s="5" t="s">
        <v>2</v>
      </c>
      <c r="F71" s="5" t="s">
        <v>5</v>
      </c>
      <c r="G71" s="5"/>
      <c r="H71" s="5"/>
      <c r="I71" s="5"/>
      <c r="J71" s="5" t="s">
        <v>10</v>
      </c>
      <c r="K71" s="5" t="s">
        <v>113</v>
      </c>
      <c r="L71" s="5"/>
      <c r="M71" s="7" t="s">
        <v>84</v>
      </c>
      <c r="N71" s="7" t="s">
        <v>203</v>
      </c>
      <c r="O71" s="5"/>
      <c r="P71" s="13"/>
      <c r="Q71" s="8"/>
      <c r="R71" s="5"/>
      <c r="S71" s="8"/>
      <c r="T71" s="13"/>
      <c r="U71" s="28"/>
      <c r="V71" s="28" t="s">
        <v>65</v>
      </c>
      <c r="W71" s="5"/>
      <c r="X71" s="5"/>
      <c r="Y71" s="8"/>
      <c r="Z71" s="5"/>
      <c r="AA71" s="5" t="s">
        <v>77</v>
      </c>
      <c r="AB71" s="5" t="s">
        <v>194</v>
      </c>
      <c r="AC71" s="5" t="s">
        <v>116</v>
      </c>
      <c r="AD71" s="8"/>
      <c r="AE71" s="81"/>
    </row>
    <row r="72" spans="1:31" ht="11.25" customHeight="1" thickBot="1">
      <c r="A72" s="71"/>
      <c r="B72" s="71"/>
      <c r="C72" s="71"/>
      <c r="D72" s="72"/>
      <c r="E72" s="71" t="s">
        <v>3</v>
      </c>
      <c r="F72" s="71" t="s">
        <v>74</v>
      </c>
      <c r="G72" s="71" t="s">
        <v>8</v>
      </c>
      <c r="H72" s="71" t="s">
        <v>9</v>
      </c>
      <c r="I72" s="71" t="s">
        <v>9</v>
      </c>
      <c r="J72" s="71"/>
      <c r="K72" s="71" t="s">
        <v>11</v>
      </c>
      <c r="L72" s="71"/>
      <c r="M72" s="73" t="s">
        <v>76</v>
      </c>
      <c r="N72" s="73"/>
      <c r="O72" s="71" t="s">
        <v>67</v>
      </c>
      <c r="P72" s="74" t="s">
        <v>75</v>
      </c>
      <c r="Q72" s="64" t="s">
        <v>75</v>
      </c>
      <c r="R72" s="71" t="s">
        <v>71</v>
      </c>
      <c r="S72" s="64" t="s">
        <v>73</v>
      </c>
      <c r="T72" s="74" t="s">
        <v>73</v>
      </c>
      <c r="U72" s="72"/>
      <c r="V72" s="72"/>
      <c r="W72" s="71"/>
      <c r="X72" s="71"/>
      <c r="Y72" s="64"/>
      <c r="Z72" s="71"/>
      <c r="AA72" s="71" t="s">
        <v>190</v>
      </c>
      <c r="AB72" s="71" t="s">
        <v>193</v>
      </c>
      <c r="AC72" s="71" t="s">
        <v>115</v>
      </c>
      <c r="AD72" s="64"/>
      <c r="AE72" s="82"/>
    </row>
    <row r="73" spans="1:31" s="26" customFormat="1" ht="11.25" customHeight="1">
      <c r="A73" s="133" t="s">
        <v>364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83"/>
    </row>
    <row r="74" spans="1:31" ht="11.25" customHeight="1">
      <c r="A74" s="33" t="s">
        <v>140</v>
      </c>
      <c r="B74" s="33" t="s">
        <v>328</v>
      </c>
      <c r="C74" s="9" t="s">
        <v>25</v>
      </c>
      <c r="D74" s="9" t="s">
        <v>54</v>
      </c>
      <c r="E74" s="9">
        <v>3</v>
      </c>
      <c r="F74" s="9">
        <v>63.2</v>
      </c>
      <c r="G74" s="9">
        <v>75.8</v>
      </c>
      <c r="H74" s="9">
        <v>900</v>
      </c>
      <c r="I74" s="33">
        <v>1000</v>
      </c>
      <c r="J74" s="10" t="s">
        <v>53</v>
      </c>
      <c r="K74" s="9">
        <v>10</v>
      </c>
      <c r="L74" s="9" t="s">
        <v>55</v>
      </c>
      <c r="M74" s="9">
        <v>652</v>
      </c>
      <c r="N74" s="9">
        <f>I74*0.6</f>
        <v>600</v>
      </c>
      <c r="O74" s="33">
        <v>750</v>
      </c>
      <c r="P74" s="16">
        <f>(0.0175*(M74/O74))*1000</f>
        <v>15.213333333333335</v>
      </c>
      <c r="Q74" s="16">
        <f>(P74+(F74*E74))*1.1</f>
        <v>225.29466666666673</v>
      </c>
      <c r="R74" s="9">
        <f>G74*E74</f>
        <v>227.39999999999998</v>
      </c>
      <c r="S74" s="16">
        <f>(R74*(I74/2))/1000</f>
        <v>113.69999999999999</v>
      </c>
      <c r="T74" s="42">
        <f>((Q74/1000)*I74)+S74</f>
        <v>338.9946666666667</v>
      </c>
      <c r="U74" s="98" t="s">
        <v>317</v>
      </c>
      <c r="V74" s="121">
        <v>1</v>
      </c>
      <c r="W74" s="9" t="s">
        <v>90</v>
      </c>
      <c r="X74" s="9">
        <v>400</v>
      </c>
      <c r="Y74" s="33">
        <v>300</v>
      </c>
      <c r="Z74" s="9">
        <v>1000</v>
      </c>
      <c r="AA74" s="63">
        <f>((Y74*0.9)+10)*Z74*0.816*1.02/380</f>
        <v>613.2884210526315</v>
      </c>
      <c r="AB74" s="63">
        <f>X74*AA74*(3^0.5)/1000</f>
        <v>424.8986819827408</v>
      </c>
      <c r="AC74" s="38">
        <f>((H74^2)*Q74)/1000000</f>
        <v>182.48868000000007</v>
      </c>
      <c r="AD74" s="62" t="s">
        <v>92</v>
      </c>
      <c r="AE74" s="68">
        <f>AA74*0.65</f>
        <v>398.6374736842105</v>
      </c>
    </row>
    <row r="75" spans="1:31" ht="11.25" customHeight="1">
      <c r="A75" s="33" t="s">
        <v>210</v>
      </c>
      <c r="B75" s="33" t="s">
        <v>220</v>
      </c>
      <c r="C75" s="9" t="s">
        <v>145</v>
      </c>
      <c r="D75" s="9" t="s">
        <v>146</v>
      </c>
      <c r="E75" s="9">
        <v>1</v>
      </c>
      <c r="F75" s="9">
        <v>150</v>
      </c>
      <c r="G75" s="9">
        <v>109</v>
      </c>
      <c r="H75" s="9">
        <v>0</v>
      </c>
      <c r="I75" s="33">
        <v>400</v>
      </c>
      <c r="J75" s="10" t="s">
        <v>53</v>
      </c>
      <c r="K75" s="9">
        <v>80</v>
      </c>
      <c r="L75" s="9" t="s">
        <v>55</v>
      </c>
      <c r="M75" s="9">
        <v>714</v>
      </c>
      <c r="N75" s="9">
        <f>I75*0.6</f>
        <v>240</v>
      </c>
      <c r="O75" s="33">
        <v>240</v>
      </c>
      <c r="P75" s="16">
        <f>(0.0175*(M75/O75))*1000</f>
        <v>52.06250000000001</v>
      </c>
      <c r="Q75" s="16">
        <f>(P75+(F75*E75))*1.1</f>
        <v>222.26875</v>
      </c>
      <c r="R75" s="9">
        <f>G75*E75</f>
        <v>109</v>
      </c>
      <c r="S75" s="16">
        <f>(R75*(I75/2))/1000</f>
        <v>21.8</v>
      </c>
      <c r="T75" s="42">
        <f>((Q75/1000)*I75)+S75</f>
        <v>110.7075</v>
      </c>
      <c r="U75" s="97" t="s">
        <v>351</v>
      </c>
      <c r="V75" s="121"/>
      <c r="W75" s="8" t="s">
        <v>184</v>
      </c>
      <c r="X75" s="9">
        <v>400</v>
      </c>
      <c r="Y75" s="33">
        <v>125</v>
      </c>
      <c r="Z75" s="9" t="s">
        <v>164</v>
      </c>
      <c r="AA75" s="63">
        <f>((Y75*0.9)+10)*I75*0.816*1.02/380</f>
        <v>107.32547368421052</v>
      </c>
      <c r="AB75" s="63">
        <f>X75*AA75*(3^0.5)/1000</f>
        <v>74.35726934697963</v>
      </c>
      <c r="AC75" s="38">
        <f>((H75^2)*Q75)/1000000</f>
        <v>0</v>
      </c>
      <c r="AD75" s="62" t="s">
        <v>165</v>
      </c>
      <c r="AE75" s="68">
        <f>AA75*0.65</f>
        <v>69.76155789473684</v>
      </c>
    </row>
    <row r="76" spans="1:31" ht="11.25" customHeight="1">
      <c r="A76" s="33" t="s">
        <v>141</v>
      </c>
      <c r="B76" s="33" t="s">
        <v>221</v>
      </c>
      <c r="C76" s="9" t="s">
        <v>27</v>
      </c>
      <c r="D76" s="9" t="s">
        <v>34</v>
      </c>
      <c r="E76" s="9">
        <v>4</v>
      </c>
      <c r="F76" s="9">
        <v>37.6</v>
      </c>
      <c r="G76" s="9">
        <v>120</v>
      </c>
      <c r="H76" s="9">
        <v>1000</v>
      </c>
      <c r="I76" s="33">
        <v>1100</v>
      </c>
      <c r="J76" s="10" t="s">
        <v>53</v>
      </c>
      <c r="K76" s="9">
        <v>85</v>
      </c>
      <c r="L76" s="9" t="s">
        <v>55</v>
      </c>
      <c r="M76" s="9">
        <v>761</v>
      </c>
      <c r="N76" s="9">
        <f>I76*0.6</f>
        <v>660</v>
      </c>
      <c r="O76" s="55">
        <v>800</v>
      </c>
      <c r="P76" s="16">
        <f>(0.0175*(M76/O76))*1000</f>
        <v>16.646875</v>
      </c>
      <c r="Q76" s="16">
        <f>(P76+(F76*E76))*1.1</f>
        <v>183.7515625</v>
      </c>
      <c r="R76" s="9">
        <f>G76*E76</f>
        <v>480</v>
      </c>
      <c r="S76" s="16">
        <f>(R76*(I76/2))/1000</f>
        <v>264</v>
      </c>
      <c r="T76" s="42">
        <f>((Q76/1000)*I76)+S76</f>
        <v>466.12671875</v>
      </c>
      <c r="U76" s="33" t="s">
        <v>311</v>
      </c>
      <c r="V76" s="121">
        <v>1</v>
      </c>
      <c r="W76" s="9" t="s">
        <v>90</v>
      </c>
      <c r="X76" s="9">
        <v>18000</v>
      </c>
      <c r="Y76" s="33">
        <v>550</v>
      </c>
      <c r="Z76" s="9">
        <v>1000</v>
      </c>
      <c r="AA76" s="63">
        <f>((Y76*0.9)+10)*Z76*0.816*1.02/18000</f>
        <v>23.351200000000002</v>
      </c>
      <c r="AB76" s="63">
        <f>X76*AA76*(3^0.5)/1000</f>
        <v>728.0183667186426</v>
      </c>
      <c r="AC76" s="38">
        <f>((H88^2)*Q88)/1000000</f>
        <v>258.6403285714286</v>
      </c>
      <c r="AD76" s="62" t="s">
        <v>139</v>
      </c>
      <c r="AE76" s="68">
        <f>AA76*0.65</f>
        <v>15.178280000000003</v>
      </c>
    </row>
    <row r="77" spans="1:31" ht="2.25" customHeight="1">
      <c r="A77" s="33"/>
      <c r="B77" s="33"/>
      <c r="C77" s="9"/>
      <c r="D77" s="9"/>
      <c r="E77" s="9"/>
      <c r="F77" s="9"/>
      <c r="G77" s="9"/>
      <c r="H77" s="9"/>
      <c r="I77" s="9"/>
      <c r="J77" s="10"/>
      <c r="K77" s="9"/>
      <c r="L77" s="9"/>
      <c r="M77" s="9"/>
      <c r="N77" s="9"/>
      <c r="O77" s="9"/>
      <c r="P77" s="16"/>
      <c r="Q77" s="16"/>
      <c r="R77" s="9"/>
      <c r="S77" s="16"/>
      <c r="T77" s="16"/>
      <c r="U77" s="9"/>
      <c r="V77" s="121"/>
      <c r="W77" s="9"/>
      <c r="X77" s="9"/>
      <c r="Y77" s="9"/>
      <c r="Z77" s="9"/>
      <c r="AA77" s="62"/>
      <c r="AB77" s="62"/>
      <c r="AC77" s="38">
        <f>((H77^2)*Q77)/1000000</f>
        <v>0</v>
      </c>
      <c r="AD77" s="62"/>
      <c r="AE77" s="21"/>
    </row>
    <row r="78" spans="1:31" ht="11.25" customHeight="1">
      <c r="A78" s="33" t="s">
        <v>142</v>
      </c>
      <c r="B78" s="33" t="s">
        <v>222</v>
      </c>
      <c r="C78" s="9" t="s">
        <v>56</v>
      </c>
      <c r="D78" s="9" t="s">
        <v>23</v>
      </c>
      <c r="E78" s="9">
        <v>1</v>
      </c>
      <c r="F78" s="9">
        <v>31</v>
      </c>
      <c r="G78" s="9">
        <v>13</v>
      </c>
      <c r="H78" s="9">
        <v>470</v>
      </c>
      <c r="I78" s="9">
        <v>500</v>
      </c>
      <c r="J78" s="10" t="s">
        <v>53</v>
      </c>
      <c r="K78" s="9">
        <v>10</v>
      </c>
      <c r="L78" s="9" t="s">
        <v>55</v>
      </c>
      <c r="M78" s="9">
        <v>606</v>
      </c>
      <c r="N78" s="9">
        <f>I78*0.6</f>
        <v>300</v>
      </c>
      <c r="O78" s="9">
        <v>240</v>
      </c>
      <c r="P78" s="16">
        <f>(0.0175*(M78/O78))*1000</f>
        <v>44.18750000000001</v>
      </c>
      <c r="Q78" s="16">
        <f>(P78+(F78*E78))*1.1</f>
        <v>82.70625000000001</v>
      </c>
      <c r="R78" s="9">
        <f>G78*E78</f>
        <v>13</v>
      </c>
      <c r="S78" s="16">
        <f>(R78*(I78/2))/1000</f>
        <v>3.25</v>
      </c>
      <c r="T78" s="16">
        <f>((Q78/1000)*I78)+S78</f>
        <v>44.603125000000006</v>
      </c>
      <c r="U78" s="100" t="s">
        <v>315</v>
      </c>
      <c r="V78" s="121">
        <v>7</v>
      </c>
      <c r="W78" s="9" t="s">
        <v>90</v>
      </c>
      <c r="X78" s="9">
        <v>400</v>
      </c>
      <c r="Y78" s="9">
        <v>200</v>
      </c>
      <c r="Z78" s="9">
        <v>600</v>
      </c>
      <c r="AA78" s="63">
        <f>((Y78*0.9)+10)*Z78*0.816*1.02/380</f>
        <v>249.696</v>
      </c>
      <c r="AB78" s="63">
        <f>X78*AA78*(3^0.5)/1000</f>
        <v>172.99446337868733</v>
      </c>
      <c r="AC78" s="38">
        <f>((H78^2)*Q78)/1000000</f>
        <v>18.269810625000005</v>
      </c>
      <c r="AD78" s="62" t="s">
        <v>92</v>
      </c>
      <c r="AE78" s="68">
        <f>AA78*0.65</f>
        <v>162.3024</v>
      </c>
    </row>
    <row r="79" spans="1:31" ht="11.25" customHeight="1">
      <c r="A79" s="33" t="s">
        <v>217</v>
      </c>
      <c r="B79" s="33" t="s">
        <v>223</v>
      </c>
      <c r="C79" s="9" t="s">
        <v>215</v>
      </c>
      <c r="D79" s="9" t="s">
        <v>214</v>
      </c>
      <c r="E79" s="9">
        <v>1</v>
      </c>
      <c r="F79" s="9">
        <v>276</v>
      </c>
      <c r="G79" s="9">
        <v>390</v>
      </c>
      <c r="H79" s="9">
        <v>100</v>
      </c>
      <c r="I79" s="33">
        <v>400</v>
      </c>
      <c r="J79" s="10" t="s">
        <v>53</v>
      </c>
      <c r="K79" s="9">
        <v>30</v>
      </c>
      <c r="L79" s="9" t="s">
        <v>55</v>
      </c>
      <c r="M79" s="9">
        <v>652</v>
      </c>
      <c r="N79" s="9">
        <f>I79*0.6</f>
        <v>240</v>
      </c>
      <c r="O79" s="9">
        <v>240</v>
      </c>
      <c r="P79" s="16">
        <f>(0.0175*(M79/O79))*1000</f>
        <v>47.54166666666668</v>
      </c>
      <c r="Q79" s="16">
        <f>(P79+(F79*E79))*1.1</f>
        <v>355.89583333333337</v>
      </c>
      <c r="R79" s="9">
        <f>G79*E79</f>
        <v>390</v>
      </c>
      <c r="S79" s="16">
        <f>(R79*(I79/2))/1000</f>
        <v>78</v>
      </c>
      <c r="T79" s="16">
        <f>((Q79/1000)*I79)+S79</f>
        <v>220.35833333333335</v>
      </c>
      <c r="U79" s="100" t="s">
        <v>318</v>
      </c>
      <c r="V79" s="121">
        <v>10</v>
      </c>
      <c r="W79" s="9" t="s">
        <v>90</v>
      </c>
      <c r="X79" s="9">
        <v>400</v>
      </c>
      <c r="Y79" s="9">
        <v>250</v>
      </c>
      <c r="Z79" s="33">
        <v>360</v>
      </c>
      <c r="AA79" s="63">
        <f>((Y79*0.9)+10)*I79*0.816*1.02/380</f>
        <v>205.88968421052633</v>
      </c>
      <c r="AB79" s="63">
        <f>X79*AA79*(3^0.5)/1000</f>
        <v>142.6445575227773</v>
      </c>
      <c r="AC79" s="38">
        <f>((H79^2)*Q79)/1000000</f>
        <v>3.5589583333333334</v>
      </c>
      <c r="AD79" s="62" t="s">
        <v>91</v>
      </c>
      <c r="AE79" s="68">
        <f>AA79*0.5</f>
        <v>102.94484210526316</v>
      </c>
    </row>
    <row r="80" spans="1:31" ht="11.25" customHeight="1">
      <c r="A80" s="33" t="s">
        <v>218</v>
      </c>
      <c r="B80" s="33" t="s">
        <v>224</v>
      </c>
      <c r="C80" s="9" t="s">
        <v>216</v>
      </c>
      <c r="D80" s="9" t="s">
        <v>214</v>
      </c>
      <c r="E80" s="9">
        <v>1</v>
      </c>
      <c r="F80" s="9">
        <v>276</v>
      </c>
      <c r="G80" s="9">
        <v>390</v>
      </c>
      <c r="H80" s="9">
        <v>70</v>
      </c>
      <c r="I80" s="9">
        <v>300</v>
      </c>
      <c r="J80" s="10" t="s">
        <v>53</v>
      </c>
      <c r="K80" s="9">
        <v>80</v>
      </c>
      <c r="L80" s="9" t="s">
        <v>55</v>
      </c>
      <c r="M80" s="9">
        <v>714</v>
      </c>
      <c r="N80" s="9">
        <f>I80*0.6</f>
        <v>180</v>
      </c>
      <c r="O80" s="9">
        <v>185</v>
      </c>
      <c r="P80" s="16">
        <f>(0.0175*(M80/O80))*1000</f>
        <v>67.54054054054055</v>
      </c>
      <c r="Q80" s="16">
        <f>(P80+(F80*E80))*1.1</f>
        <v>377.8945945945946</v>
      </c>
      <c r="R80" s="9">
        <f>G80*E80</f>
        <v>390</v>
      </c>
      <c r="S80" s="16">
        <f>(R80*(I80/2))/1000</f>
        <v>58.5</v>
      </c>
      <c r="T80" s="16">
        <f>((Q80/1000)*I80)+S80</f>
        <v>171.86837837837837</v>
      </c>
      <c r="U80" s="100" t="s">
        <v>316</v>
      </c>
      <c r="V80" s="121">
        <v>15</v>
      </c>
      <c r="W80" s="9" t="s">
        <v>90</v>
      </c>
      <c r="X80" s="9">
        <v>400</v>
      </c>
      <c r="Y80" s="9">
        <v>200</v>
      </c>
      <c r="Z80" s="9">
        <v>300</v>
      </c>
      <c r="AA80" s="63">
        <f>((Y80*0.9)+10)*Z80*0.816*1.02/380</f>
        <v>124.848</v>
      </c>
      <c r="AB80" s="63">
        <f>X80*AA80*(3^0.5)/1000</f>
        <v>86.49723168934366</v>
      </c>
      <c r="AC80" s="38">
        <f>((H80^2)*Q80)/1000000</f>
        <v>1.8516835135135137</v>
      </c>
      <c r="AD80" s="62" t="s">
        <v>93</v>
      </c>
      <c r="AE80" s="68">
        <f>AA80*0.65</f>
        <v>81.1512</v>
      </c>
    </row>
    <row r="81" spans="1:31" ht="11.25" customHeight="1">
      <c r="A81" s="9" t="s">
        <v>96</v>
      </c>
      <c r="B81" s="9" t="s">
        <v>225</v>
      </c>
      <c r="C81" s="9" t="s">
        <v>57</v>
      </c>
      <c r="D81" s="9" t="s">
        <v>14</v>
      </c>
      <c r="E81" s="9">
        <v>1</v>
      </c>
      <c r="F81" s="9">
        <v>276</v>
      </c>
      <c r="G81" s="9">
        <v>390</v>
      </c>
      <c r="H81" s="9">
        <v>250</v>
      </c>
      <c r="I81" s="9">
        <v>400</v>
      </c>
      <c r="J81" s="10" t="s">
        <v>53</v>
      </c>
      <c r="K81" s="9">
        <v>120</v>
      </c>
      <c r="L81" s="9" t="s">
        <v>55</v>
      </c>
      <c r="M81" s="9">
        <v>782</v>
      </c>
      <c r="N81" s="9">
        <f>I81*0.6</f>
        <v>240</v>
      </c>
      <c r="O81" s="9">
        <v>185</v>
      </c>
      <c r="P81" s="16">
        <f>(0.0175*(M81/O81))*1000</f>
        <v>73.972972972973</v>
      </c>
      <c r="Q81" s="16">
        <f>(P81+(F81*E81))*1.1</f>
        <v>384.97027027027036</v>
      </c>
      <c r="R81" s="9">
        <f>G81*E81</f>
        <v>390</v>
      </c>
      <c r="S81" s="16">
        <f>(R81*(I81/2))/1000</f>
        <v>78</v>
      </c>
      <c r="T81" s="16">
        <f>((Q81/1000)*I81)+S81</f>
        <v>231.98810810810815</v>
      </c>
      <c r="U81" s="100" t="s">
        <v>318</v>
      </c>
      <c r="V81" s="121">
        <v>2</v>
      </c>
      <c r="W81" s="9" t="s">
        <v>90</v>
      </c>
      <c r="X81" s="9">
        <v>400</v>
      </c>
      <c r="Y81" s="9">
        <v>250</v>
      </c>
      <c r="Z81" s="33">
        <v>360</v>
      </c>
      <c r="AA81" s="63">
        <f>((Y81*0.9)+10)*I81*0.816*1.02/380</f>
        <v>205.88968421052633</v>
      </c>
      <c r="AB81" s="63">
        <f>X81*AA81*(3^0.5)/1000</f>
        <v>142.6445575227773</v>
      </c>
      <c r="AC81" s="38">
        <f>((H81^2)*Q81)/1000000</f>
        <v>24.060641891891898</v>
      </c>
      <c r="AD81" s="62" t="s">
        <v>91</v>
      </c>
      <c r="AE81" s="68">
        <f>AA81*0.65</f>
        <v>133.8282947368421</v>
      </c>
    </row>
    <row r="82" spans="1:31" s="26" customFormat="1" ht="11.25" customHeight="1">
      <c r="A82" s="134" t="s">
        <v>365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84"/>
    </row>
    <row r="83" spans="1:31" ht="11.25" customHeight="1">
      <c r="A83" s="9" t="s">
        <v>143</v>
      </c>
      <c r="B83" s="9" t="s">
        <v>308</v>
      </c>
      <c r="C83" s="9" t="s">
        <v>21</v>
      </c>
      <c r="D83" s="9" t="s">
        <v>21</v>
      </c>
      <c r="E83" s="9">
        <v>236</v>
      </c>
      <c r="F83" s="9">
        <v>1.935</v>
      </c>
      <c r="G83" s="9">
        <v>2</v>
      </c>
      <c r="H83" s="9">
        <v>5250</v>
      </c>
      <c r="I83" s="9">
        <v>5400</v>
      </c>
      <c r="J83" s="60" t="s">
        <v>182</v>
      </c>
      <c r="K83" s="9">
        <v>630</v>
      </c>
      <c r="L83" s="9" t="s">
        <v>55</v>
      </c>
      <c r="M83" s="9">
        <v>2000</v>
      </c>
      <c r="N83" s="33">
        <f>I83*0.45</f>
        <v>2430</v>
      </c>
      <c r="O83" s="33">
        <v>1500</v>
      </c>
      <c r="P83" s="16">
        <f>(0.0175*(M83/O83))*1000</f>
        <v>23.333333333333336</v>
      </c>
      <c r="Q83" s="16">
        <f>(P83+(F83*E83))*1.1</f>
        <v>527.9926666666668</v>
      </c>
      <c r="R83" s="9">
        <f aca="true" t="shared" si="26" ref="R83:R106">G83*E83</f>
        <v>472</v>
      </c>
      <c r="S83" s="16">
        <f>(R83*(I83/5))/1000</f>
        <v>509.76</v>
      </c>
      <c r="T83" s="16">
        <f aca="true" t="shared" si="27" ref="T83:T106">((Q83/1000)*I83)+S83</f>
        <v>3360.920400000001</v>
      </c>
      <c r="U83" s="33" t="s">
        <v>336</v>
      </c>
      <c r="V83" s="121" t="s">
        <v>348</v>
      </c>
      <c r="W83" s="9" t="s">
        <v>90</v>
      </c>
      <c r="X83" s="9" t="s">
        <v>109</v>
      </c>
      <c r="Y83" s="52">
        <v>3600</v>
      </c>
      <c r="Z83" s="9">
        <v>5400</v>
      </c>
      <c r="AA83" s="63">
        <f>((Y83*0.9)+10)*Z83*0.816*1.02/18000</f>
        <v>811.512</v>
      </c>
      <c r="AB83" s="63">
        <f>18000*AA83*(3^0.5)/1000</f>
        <v>25300.44026913302</v>
      </c>
      <c r="AC83" s="38">
        <f aca="true" t="shared" si="28" ref="AC83:AC101">((H83^2)*Q83)/1000000</f>
        <v>14552.797875000002</v>
      </c>
      <c r="AD83" s="62" t="s">
        <v>122</v>
      </c>
      <c r="AE83" s="68">
        <f>AA83*0.65</f>
        <v>527.4828</v>
      </c>
    </row>
    <row r="84" spans="1:31" ht="11.25" customHeight="1">
      <c r="A84" s="9" t="s">
        <v>177</v>
      </c>
      <c r="B84" s="9" t="s">
        <v>226</v>
      </c>
      <c r="C84" s="9" t="s">
        <v>22</v>
      </c>
      <c r="D84" s="9" t="s">
        <v>23</v>
      </c>
      <c r="E84" s="9">
        <v>34</v>
      </c>
      <c r="F84" s="9">
        <v>31</v>
      </c>
      <c r="G84" s="9">
        <v>13</v>
      </c>
      <c r="H84" s="9">
        <v>500</v>
      </c>
      <c r="I84" s="9">
        <v>600</v>
      </c>
      <c r="J84" s="10" t="s">
        <v>53</v>
      </c>
      <c r="K84" s="33">
        <v>260</v>
      </c>
      <c r="L84" s="9" t="s">
        <v>149</v>
      </c>
      <c r="M84" s="33">
        <v>5508</v>
      </c>
      <c r="N84" s="9">
        <f>I84*0.45</f>
        <v>270</v>
      </c>
      <c r="O84" s="33">
        <v>630</v>
      </c>
      <c r="P84" s="16">
        <f>(0.0282*(M84/O84))*1000</f>
        <v>246.5485714285714</v>
      </c>
      <c r="Q84" s="16">
        <f>(P84+(F84*E84))*1.1</f>
        <v>1430.6034285714288</v>
      </c>
      <c r="R84" s="9">
        <f t="shared" si="26"/>
        <v>442</v>
      </c>
      <c r="S84" s="16">
        <f>(R84*(I84/5))/1000</f>
        <v>53.04</v>
      </c>
      <c r="T84" s="16">
        <f t="shared" si="27"/>
        <v>911.4020571428573</v>
      </c>
      <c r="U84" s="33" t="s">
        <v>334</v>
      </c>
      <c r="V84" s="121">
        <v>8</v>
      </c>
      <c r="W84" s="9" t="s">
        <v>90</v>
      </c>
      <c r="X84" s="9">
        <v>18000</v>
      </c>
      <c r="Y84" s="9">
        <v>1300</v>
      </c>
      <c r="Z84" s="9">
        <v>840</v>
      </c>
      <c r="AA84" s="63">
        <f>((Y84*0.9)+10)*Z84*0.816*1.02/18000</f>
        <v>45.833088</v>
      </c>
      <c r="AB84" s="63">
        <f>X84*AA84*(3^0.5)/1000</f>
        <v>1428.9342675079572</v>
      </c>
      <c r="AC84" s="38">
        <f t="shared" si="28"/>
        <v>357.6508571428572</v>
      </c>
      <c r="AD84" s="62" t="s">
        <v>101</v>
      </c>
      <c r="AE84" s="68">
        <f>AA84*0.5</f>
        <v>22.916544</v>
      </c>
    </row>
    <row r="85" spans="1:31" ht="11.25" customHeight="1">
      <c r="A85" s="9" t="s">
        <v>178</v>
      </c>
      <c r="B85" s="9" t="s">
        <v>227</v>
      </c>
      <c r="C85" s="9" t="s">
        <v>24</v>
      </c>
      <c r="D85" s="9" t="s">
        <v>23</v>
      </c>
      <c r="E85" s="9">
        <v>34</v>
      </c>
      <c r="F85" s="9">
        <v>31</v>
      </c>
      <c r="G85" s="9">
        <v>13</v>
      </c>
      <c r="H85" s="9">
        <v>500</v>
      </c>
      <c r="I85" s="9">
        <v>600</v>
      </c>
      <c r="J85" s="10" t="s">
        <v>53</v>
      </c>
      <c r="K85" s="33">
        <v>290</v>
      </c>
      <c r="L85" s="9" t="s">
        <v>149</v>
      </c>
      <c r="M85" s="33">
        <v>5700</v>
      </c>
      <c r="N85" s="9">
        <f>I85*0.45</f>
        <v>270</v>
      </c>
      <c r="O85" s="33">
        <v>630</v>
      </c>
      <c r="P85" s="16">
        <f>(0.0282*(M85/O85))*1000</f>
        <v>255.1428571428571</v>
      </c>
      <c r="Q85" s="16">
        <f>(P85+(F85*E85))*1.1</f>
        <v>1440.057142857143</v>
      </c>
      <c r="R85" s="9">
        <f t="shared" si="26"/>
        <v>442</v>
      </c>
      <c r="S85" s="16">
        <f>(R85*(I85/5))/1000</f>
        <v>53.04</v>
      </c>
      <c r="T85" s="16">
        <f t="shared" si="27"/>
        <v>917.0742857142857</v>
      </c>
      <c r="U85" s="33" t="s">
        <v>334</v>
      </c>
      <c r="V85" s="121">
        <v>5</v>
      </c>
      <c r="W85" s="9" t="s">
        <v>90</v>
      </c>
      <c r="X85" s="9">
        <v>18000</v>
      </c>
      <c r="Y85" s="9">
        <v>1300</v>
      </c>
      <c r="Z85" s="9">
        <v>840</v>
      </c>
      <c r="AA85" s="63">
        <f>((Y85*0.9)+10)*Z85*0.816*1.02/18000</f>
        <v>45.833088</v>
      </c>
      <c r="AB85" s="63">
        <f>X85*AA85*(3^0.5)/1000</f>
        <v>1428.9342675079572</v>
      </c>
      <c r="AC85" s="38">
        <f t="shared" si="28"/>
        <v>360.01428571428573</v>
      </c>
      <c r="AD85" s="62" t="s">
        <v>101</v>
      </c>
      <c r="AE85" s="68">
        <f>AA85*0.5</f>
        <v>22.916544</v>
      </c>
    </row>
    <row r="86" spans="1:31" ht="2.25" customHeight="1">
      <c r="A86" s="9"/>
      <c r="B86" s="9"/>
      <c r="C86" s="9"/>
      <c r="D86" s="9"/>
      <c r="E86" s="9"/>
      <c r="F86" s="9"/>
      <c r="G86" s="9"/>
      <c r="H86" s="9"/>
      <c r="I86" s="9"/>
      <c r="J86" s="10"/>
      <c r="K86" s="9"/>
      <c r="L86" s="9"/>
      <c r="M86" s="9"/>
      <c r="N86" s="9"/>
      <c r="O86" s="9"/>
      <c r="P86" s="16"/>
      <c r="Q86" s="16"/>
      <c r="R86" s="9"/>
      <c r="S86" s="16"/>
      <c r="T86" s="16"/>
      <c r="U86" s="9"/>
      <c r="V86" s="122"/>
      <c r="W86" s="9"/>
      <c r="X86" s="9"/>
      <c r="Y86" s="9"/>
      <c r="Z86" s="9"/>
      <c r="AA86" s="62"/>
      <c r="AB86" s="62"/>
      <c r="AC86" s="38">
        <f t="shared" si="28"/>
        <v>0</v>
      </c>
      <c r="AD86" s="62"/>
      <c r="AE86" s="21"/>
    </row>
    <row r="87" spans="1:31" ht="11.25" customHeight="1">
      <c r="A87" s="105" t="s">
        <v>147</v>
      </c>
      <c r="B87" s="9" t="s">
        <v>228</v>
      </c>
      <c r="C87" s="9" t="s">
        <v>58</v>
      </c>
      <c r="D87" s="9" t="s">
        <v>146</v>
      </c>
      <c r="E87" s="9">
        <v>1</v>
      </c>
      <c r="F87" s="9">
        <v>150</v>
      </c>
      <c r="G87" s="33">
        <v>109</v>
      </c>
      <c r="H87" s="9">
        <v>240</v>
      </c>
      <c r="I87" s="33">
        <v>400</v>
      </c>
      <c r="J87" s="10" t="s">
        <v>53</v>
      </c>
      <c r="K87" s="9">
        <v>250</v>
      </c>
      <c r="L87" s="9" t="s">
        <v>55</v>
      </c>
      <c r="M87" s="9">
        <v>1094</v>
      </c>
      <c r="N87" s="33">
        <f aca="true" t="shared" si="29" ref="N87:N92">I87*0.45</f>
        <v>180</v>
      </c>
      <c r="O87" s="9">
        <v>185</v>
      </c>
      <c r="P87" s="16">
        <f>(0.0175*(M87/O87))*1000</f>
        <v>103.4864864864865</v>
      </c>
      <c r="Q87" s="16">
        <f aca="true" t="shared" si="30" ref="Q87:Q92">(P87+(F87*E87))*1.1</f>
        <v>278.8351351351352</v>
      </c>
      <c r="R87" s="9">
        <f t="shared" si="26"/>
        <v>109</v>
      </c>
      <c r="S87" s="16">
        <f>(R87*(I87/5))/1000</f>
        <v>8.72</v>
      </c>
      <c r="T87" s="16">
        <f t="shared" si="27"/>
        <v>120.25405405405408</v>
      </c>
      <c r="U87" s="100" t="s">
        <v>318</v>
      </c>
      <c r="V87" s="121">
        <v>8</v>
      </c>
      <c r="W87" s="9" t="s">
        <v>90</v>
      </c>
      <c r="X87" s="9">
        <v>400</v>
      </c>
      <c r="Y87" s="9">
        <v>250</v>
      </c>
      <c r="Z87" s="33">
        <v>360</v>
      </c>
      <c r="AA87" s="63">
        <f>((Y87*0.9)+10)*I87*0.816*1.02/380</f>
        <v>205.88968421052633</v>
      </c>
      <c r="AB87" s="63">
        <f>X87*AA87*(3^0.5)/1000</f>
        <v>142.6445575227773</v>
      </c>
      <c r="AC87" s="38">
        <f>((H87^2)*Q87)/1000000</f>
        <v>16.06090378378379</v>
      </c>
      <c r="AD87" s="62" t="s">
        <v>91</v>
      </c>
      <c r="AE87" s="68">
        <f aca="true" t="shared" si="31" ref="AE87:AE92">AA87*0.5</f>
        <v>102.94484210526316</v>
      </c>
    </row>
    <row r="88" spans="1:31" ht="11.25" customHeight="1">
      <c r="A88" s="114" t="s">
        <v>347</v>
      </c>
      <c r="B88" s="9" t="s">
        <v>355</v>
      </c>
      <c r="C88" s="9" t="s">
        <v>59</v>
      </c>
      <c r="D88" s="9" t="s">
        <v>34</v>
      </c>
      <c r="E88" s="9">
        <v>7</v>
      </c>
      <c r="F88" s="9">
        <v>37.6</v>
      </c>
      <c r="G88" s="9">
        <v>120</v>
      </c>
      <c r="H88" s="9">
        <v>900</v>
      </c>
      <c r="I88" s="9">
        <v>1000</v>
      </c>
      <c r="J88" s="10" t="s">
        <v>53</v>
      </c>
      <c r="K88" s="9">
        <v>0</v>
      </c>
      <c r="L88" s="9" t="s">
        <v>149</v>
      </c>
      <c r="M88" s="9">
        <v>1210</v>
      </c>
      <c r="N88" s="33">
        <f t="shared" si="29"/>
        <v>450</v>
      </c>
      <c r="O88" s="33">
        <v>1260</v>
      </c>
      <c r="P88" s="16">
        <f>(0.0282*(M88/O88))*1000</f>
        <v>27.080952380952382</v>
      </c>
      <c r="Q88" s="16">
        <f t="shared" si="30"/>
        <v>319.30904761904765</v>
      </c>
      <c r="R88" s="9">
        <f t="shared" si="26"/>
        <v>840</v>
      </c>
      <c r="S88" s="16">
        <f>(R88*(I88/5))/1000</f>
        <v>168</v>
      </c>
      <c r="T88" s="42">
        <f t="shared" si="27"/>
        <v>487.30904761904765</v>
      </c>
      <c r="U88" s="33" t="s">
        <v>352</v>
      </c>
      <c r="V88" s="121"/>
      <c r="W88" s="8" t="s">
        <v>209</v>
      </c>
      <c r="X88" s="9">
        <v>18000</v>
      </c>
      <c r="Y88" s="33">
        <v>600</v>
      </c>
      <c r="Z88" s="9">
        <v>1000</v>
      </c>
      <c r="AA88" s="63">
        <f>((Y88*0.9)+10)*Z88*0.816*1.02/18000</f>
        <v>25.432</v>
      </c>
      <c r="AB88" s="63">
        <f>X88*AA88*(3^0.5)/1000</f>
        <v>792.8912904856503</v>
      </c>
      <c r="AC88" s="38">
        <f>((H76^2)*Q76)/1000000</f>
        <v>183.7515625</v>
      </c>
      <c r="AD88" s="62" t="s">
        <v>211</v>
      </c>
      <c r="AE88" s="68">
        <f t="shared" si="31"/>
        <v>12.716</v>
      </c>
    </row>
    <row r="89" spans="1:31" ht="11.25" customHeight="1">
      <c r="A89" s="115" t="s">
        <v>324</v>
      </c>
      <c r="B89" s="30" t="s">
        <v>325</v>
      </c>
      <c r="C89" s="9" t="s">
        <v>98</v>
      </c>
      <c r="D89" s="9" t="s">
        <v>31</v>
      </c>
      <c r="E89" s="9">
        <v>3</v>
      </c>
      <c r="F89" s="9">
        <v>16.4</v>
      </c>
      <c r="G89" s="9">
        <v>31.6</v>
      </c>
      <c r="H89" s="9">
        <v>950</v>
      </c>
      <c r="I89" s="9">
        <v>1000</v>
      </c>
      <c r="J89" s="10" t="s">
        <v>53</v>
      </c>
      <c r="K89" s="9">
        <v>-130</v>
      </c>
      <c r="L89" s="9" t="s">
        <v>149</v>
      </c>
      <c r="M89" s="9">
        <v>986</v>
      </c>
      <c r="N89" s="33">
        <f t="shared" si="29"/>
        <v>450</v>
      </c>
      <c r="O89" s="33">
        <v>1260</v>
      </c>
      <c r="P89" s="16">
        <f>(0.0282*(M89/O89))*1000</f>
        <v>22.067619047619047</v>
      </c>
      <c r="Q89" s="16">
        <f t="shared" si="30"/>
        <v>78.39438095238094</v>
      </c>
      <c r="R89" s="9">
        <f t="shared" si="26"/>
        <v>94.80000000000001</v>
      </c>
      <c r="S89" s="16">
        <f>((R89+R90)*(I89/5))/1000</f>
        <v>24.92</v>
      </c>
      <c r="T89" s="16">
        <f>(((Q89+Q90)/1000)*I89)+S89</f>
        <v>127.29438095238095</v>
      </c>
      <c r="U89" s="33" t="s">
        <v>175</v>
      </c>
      <c r="V89" s="121"/>
      <c r="W89" s="9" t="s">
        <v>95</v>
      </c>
      <c r="X89" s="9">
        <v>400</v>
      </c>
      <c r="Y89" s="9">
        <v>210</v>
      </c>
      <c r="Z89" s="9">
        <v>1620</v>
      </c>
      <c r="AA89" s="63">
        <f>((Y89*0.9)+10)*Z89*0.816*1.02/380</f>
        <v>706.1140042105262</v>
      </c>
      <c r="AB89" s="63">
        <f>X89*AA89*(3^0.5)/1000</f>
        <v>489.21013249141413</v>
      </c>
      <c r="AC89" s="38">
        <f t="shared" si="28"/>
        <v>70.7509288095238</v>
      </c>
      <c r="AD89" s="62" t="s">
        <v>102</v>
      </c>
      <c r="AE89" s="68">
        <f t="shared" si="31"/>
        <v>353.0570021052631</v>
      </c>
    </row>
    <row r="90" spans="1:31" ht="11.25" customHeight="1">
      <c r="A90" s="115" t="s">
        <v>32</v>
      </c>
      <c r="B90" s="30"/>
      <c r="C90" s="9" t="s">
        <v>99</v>
      </c>
      <c r="D90" s="9" t="s">
        <v>32</v>
      </c>
      <c r="E90" s="9">
        <v>2</v>
      </c>
      <c r="F90" s="9">
        <v>10.9</v>
      </c>
      <c r="G90" s="9">
        <v>14.9</v>
      </c>
      <c r="H90" s="9"/>
      <c r="I90" s="9"/>
      <c r="J90" s="11"/>
      <c r="K90" s="9"/>
      <c r="L90" s="9"/>
      <c r="M90" s="9"/>
      <c r="N90" s="33">
        <f t="shared" si="29"/>
        <v>0</v>
      </c>
      <c r="O90" s="9"/>
      <c r="P90" s="16"/>
      <c r="Q90" s="16">
        <f t="shared" si="30"/>
        <v>23.980000000000004</v>
      </c>
      <c r="R90" s="9">
        <f t="shared" si="26"/>
        <v>29.8</v>
      </c>
      <c r="S90" s="16"/>
      <c r="T90" s="16"/>
      <c r="U90" s="9"/>
      <c r="V90" s="121"/>
      <c r="W90" s="9"/>
      <c r="X90" s="9"/>
      <c r="Y90" s="9"/>
      <c r="Z90" s="9"/>
      <c r="AA90" s="62"/>
      <c r="AB90" s="62"/>
      <c r="AC90" s="38"/>
      <c r="AD90" s="62"/>
      <c r="AE90" s="68">
        <f t="shared" si="31"/>
        <v>0</v>
      </c>
    </row>
    <row r="91" spans="1:31" ht="11.25" customHeight="1">
      <c r="A91" s="105" t="s">
        <v>97</v>
      </c>
      <c r="B91" s="9" t="s">
        <v>229</v>
      </c>
      <c r="C91" s="9" t="s">
        <v>33</v>
      </c>
      <c r="D91" s="9" t="s">
        <v>34</v>
      </c>
      <c r="E91" s="9">
        <v>12</v>
      </c>
      <c r="F91" s="9">
        <v>37.6</v>
      </c>
      <c r="G91" s="9">
        <v>120</v>
      </c>
      <c r="H91" s="9">
        <v>800</v>
      </c>
      <c r="I91" s="33">
        <v>1000</v>
      </c>
      <c r="J91" s="10" t="s">
        <v>53</v>
      </c>
      <c r="K91" s="9">
        <v>470</v>
      </c>
      <c r="L91" s="9" t="s">
        <v>55</v>
      </c>
      <c r="M91" s="9">
        <v>1883</v>
      </c>
      <c r="N91" s="33">
        <f t="shared" si="29"/>
        <v>450</v>
      </c>
      <c r="O91" s="9">
        <v>400</v>
      </c>
      <c r="P91" s="16">
        <f>(0.0175*(M91/O91))*1000</f>
        <v>82.38125000000001</v>
      </c>
      <c r="Q91" s="16">
        <f t="shared" si="30"/>
        <v>586.9393750000002</v>
      </c>
      <c r="R91" s="9">
        <f t="shared" si="26"/>
        <v>1440</v>
      </c>
      <c r="S91" s="16">
        <f>(R91*(I91/5))/1000</f>
        <v>288</v>
      </c>
      <c r="T91" s="16">
        <f t="shared" si="27"/>
        <v>874.9393750000002</v>
      </c>
      <c r="U91" s="33" t="s">
        <v>334</v>
      </c>
      <c r="V91" s="121">
        <v>7</v>
      </c>
      <c r="W91" s="9" t="s">
        <v>90</v>
      </c>
      <c r="X91" s="9">
        <v>18000</v>
      </c>
      <c r="Y91" s="9">
        <v>1300</v>
      </c>
      <c r="Z91" s="33">
        <v>840</v>
      </c>
      <c r="AA91" s="63">
        <f>((Y91*0.9)+10)*Z91*0.816*1.02/18000</f>
        <v>45.833088</v>
      </c>
      <c r="AB91" s="63">
        <f>X91*AA91*(3^0.5)/1000</f>
        <v>1428.9342675079572</v>
      </c>
      <c r="AC91" s="38">
        <f t="shared" si="28"/>
        <v>375.64120000000014</v>
      </c>
      <c r="AD91" s="62" t="s">
        <v>101</v>
      </c>
      <c r="AE91" s="68">
        <f t="shared" si="31"/>
        <v>22.916544</v>
      </c>
    </row>
    <row r="92" spans="1:31" ht="11.25" customHeight="1">
      <c r="A92" s="117" t="s">
        <v>144</v>
      </c>
      <c r="B92" s="9" t="s">
        <v>230</v>
      </c>
      <c r="C92" s="9" t="s">
        <v>35</v>
      </c>
      <c r="D92" s="9" t="s">
        <v>28</v>
      </c>
      <c r="E92" s="9">
        <v>5</v>
      </c>
      <c r="F92" s="9">
        <v>66.3</v>
      </c>
      <c r="G92" s="33">
        <v>103</v>
      </c>
      <c r="H92" s="9">
        <v>730</v>
      </c>
      <c r="I92" s="9">
        <v>800</v>
      </c>
      <c r="J92" s="10" t="s">
        <v>53</v>
      </c>
      <c r="K92" s="9">
        <v>30</v>
      </c>
      <c r="L92" s="9" t="s">
        <v>149</v>
      </c>
      <c r="M92" s="9">
        <v>1325</v>
      </c>
      <c r="N92" s="33">
        <f t="shared" si="29"/>
        <v>360</v>
      </c>
      <c r="O92" s="33">
        <v>1260</v>
      </c>
      <c r="P92" s="16">
        <f>(0.0282*(M92/O92))*1000</f>
        <v>29.654761904761905</v>
      </c>
      <c r="Q92" s="16">
        <f t="shared" si="30"/>
        <v>397.27023809523814</v>
      </c>
      <c r="R92" s="9">
        <f t="shared" si="26"/>
        <v>515</v>
      </c>
      <c r="S92" s="16">
        <f>(R92*(I92/5))/1000</f>
        <v>82.4</v>
      </c>
      <c r="T92" s="42">
        <f t="shared" si="27"/>
        <v>400.2161904761905</v>
      </c>
      <c r="U92" s="103" t="s">
        <v>330</v>
      </c>
      <c r="V92" s="121">
        <v>1</v>
      </c>
      <c r="W92" s="9" t="s">
        <v>90</v>
      </c>
      <c r="X92" s="9">
        <v>400</v>
      </c>
      <c r="Y92" s="33">
        <v>350</v>
      </c>
      <c r="Z92" s="9">
        <v>720</v>
      </c>
      <c r="AA92" s="63">
        <f>((Y92*0.9)+10)*I92*0.816*1.02/380</f>
        <v>569.4821052631579</v>
      </c>
      <c r="AB92" s="63">
        <f>X92*AA92*(3^0.5)/1000</f>
        <v>394.54877612683083</v>
      </c>
      <c r="AC92" s="38">
        <f t="shared" si="28"/>
        <v>211.70530988095243</v>
      </c>
      <c r="AD92" s="62" t="s">
        <v>92</v>
      </c>
      <c r="AE92" s="68">
        <f t="shared" si="31"/>
        <v>284.74105263157895</v>
      </c>
    </row>
    <row r="93" spans="1:31" ht="2.25" customHeight="1">
      <c r="A93" s="9"/>
      <c r="B93" s="9"/>
      <c r="C93" s="9"/>
      <c r="D93" s="9"/>
      <c r="E93" s="9"/>
      <c r="F93" s="9"/>
      <c r="G93" s="33"/>
      <c r="H93" s="9"/>
      <c r="I93" s="9"/>
      <c r="J93" s="10"/>
      <c r="K93" s="9"/>
      <c r="L93" s="9"/>
      <c r="M93" s="9"/>
      <c r="N93" s="9"/>
      <c r="O93" s="9"/>
      <c r="P93" s="16"/>
      <c r="Q93" s="16"/>
      <c r="R93" s="9"/>
      <c r="S93" s="16"/>
      <c r="T93" s="16"/>
      <c r="U93" s="9"/>
      <c r="V93" s="121"/>
      <c r="W93" s="9"/>
      <c r="X93" s="9"/>
      <c r="Y93" s="9"/>
      <c r="Z93" s="9"/>
      <c r="AA93" s="62"/>
      <c r="AB93" s="62"/>
      <c r="AC93" s="38">
        <f t="shared" si="28"/>
        <v>0</v>
      </c>
      <c r="AD93" s="62"/>
      <c r="AE93" s="21"/>
    </row>
    <row r="94" spans="1:31" ht="11.25" customHeight="1">
      <c r="A94" s="105" t="s">
        <v>151</v>
      </c>
      <c r="B94" s="9" t="s">
        <v>231</v>
      </c>
      <c r="C94" s="9" t="s">
        <v>60</v>
      </c>
      <c r="D94" s="9" t="s">
        <v>23</v>
      </c>
      <c r="E94" s="9">
        <v>1</v>
      </c>
      <c r="F94" s="9">
        <v>31</v>
      </c>
      <c r="G94" s="9">
        <v>13</v>
      </c>
      <c r="H94" s="9">
        <v>400</v>
      </c>
      <c r="I94" s="33">
        <v>500</v>
      </c>
      <c r="J94" s="10" t="s">
        <v>53</v>
      </c>
      <c r="K94" s="33">
        <v>170</v>
      </c>
      <c r="L94" s="9" t="s">
        <v>55</v>
      </c>
      <c r="M94" s="9">
        <v>892</v>
      </c>
      <c r="N94" s="33">
        <f aca="true" t="shared" si="32" ref="N94:N106">I94*0.45</f>
        <v>225</v>
      </c>
      <c r="O94" s="9">
        <v>240</v>
      </c>
      <c r="P94" s="16">
        <f>(0.0175*(M94/O94))*1000</f>
        <v>65.04166666666667</v>
      </c>
      <c r="Q94" s="16">
        <f aca="true" t="shared" si="33" ref="Q94:Q106">(P94+(F94*E94))*1.1</f>
        <v>105.64583333333334</v>
      </c>
      <c r="R94" s="9">
        <f t="shared" si="26"/>
        <v>13</v>
      </c>
      <c r="S94" s="16">
        <f>(R94*(I94/5))/1000</f>
        <v>1.3</v>
      </c>
      <c r="T94" s="16">
        <f t="shared" si="27"/>
        <v>54.12291666666667</v>
      </c>
      <c r="U94" s="100" t="s">
        <v>315</v>
      </c>
      <c r="V94" s="121">
        <v>2</v>
      </c>
      <c r="W94" s="9" t="s">
        <v>90</v>
      </c>
      <c r="X94" s="9">
        <v>400</v>
      </c>
      <c r="Y94" s="9">
        <v>200</v>
      </c>
      <c r="Z94" s="9">
        <v>600</v>
      </c>
      <c r="AA94" s="63">
        <f>((Y94*0.9)+10)*Z94*0.816*1.02/380</f>
        <v>249.696</v>
      </c>
      <c r="AB94" s="63">
        <f aca="true" t="shared" si="34" ref="AB94:AB106">X94*AA94*(3^0.5)/1000</f>
        <v>172.99446337868733</v>
      </c>
      <c r="AC94" s="38">
        <f>((H94^2)*Q94)/1000000</f>
        <v>16.903333333333336</v>
      </c>
      <c r="AD94" s="62" t="s">
        <v>92</v>
      </c>
      <c r="AE94" s="68">
        <f aca="true" t="shared" si="35" ref="AE94:AE106">AA94*0.5</f>
        <v>124.848</v>
      </c>
    </row>
    <row r="95" spans="1:31" ht="11.25" customHeight="1">
      <c r="A95" s="105" t="s">
        <v>152</v>
      </c>
      <c r="B95" s="9" t="s">
        <v>232</v>
      </c>
      <c r="C95" s="9" t="s">
        <v>61</v>
      </c>
      <c r="D95" s="9" t="s">
        <v>23</v>
      </c>
      <c r="E95" s="9">
        <v>1</v>
      </c>
      <c r="F95" s="9">
        <v>31</v>
      </c>
      <c r="G95" s="9">
        <v>13</v>
      </c>
      <c r="H95" s="9">
        <v>410</v>
      </c>
      <c r="I95" s="33">
        <v>500</v>
      </c>
      <c r="J95" s="10" t="s">
        <v>53</v>
      </c>
      <c r="K95" s="9">
        <v>200</v>
      </c>
      <c r="L95" s="9" t="s">
        <v>55</v>
      </c>
      <c r="M95" s="9">
        <v>952</v>
      </c>
      <c r="N95" s="33">
        <f t="shared" si="32"/>
        <v>225</v>
      </c>
      <c r="O95" s="9">
        <v>240</v>
      </c>
      <c r="P95" s="16">
        <f>(0.0175*(M95/O95))*1000</f>
        <v>69.41666666666669</v>
      </c>
      <c r="Q95" s="16">
        <f t="shared" si="33"/>
        <v>110.45833333333336</v>
      </c>
      <c r="R95" s="9">
        <f t="shared" si="26"/>
        <v>13</v>
      </c>
      <c r="S95" s="16">
        <f>(R95*(I95/5))/1000</f>
        <v>1.3</v>
      </c>
      <c r="T95" s="16">
        <f t="shared" si="27"/>
        <v>56.529166666666676</v>
      </c>
      <c r="U95" s="100" t="s">
        <v>315</v>
      </c>
      <c r="V95" s="121">
        <v>3</v>
      </c>
      <c r="W95" s="9" t="s">
        <v>90</v>
      </c>
      <c r="X95" s="9">
        <v>400</v>
      </c>
      <c r="Y95" s="9">
        <v>200</v>
      </c>
      <c r="Z95" s="9">
        <v>600</v>
      </c>
      <c r="AA95" s="63">
        <f>((Y95*0.9)+10)*Z95*0.816*1.02/380</f>
        <v>249.696</v>
      </c>
      <c r="AB95" s="63">
        <f t="shared" si="34"/>
        <v>172.99446337868733</v>
      </c>
      <c r="AC95" s="38">
        <f>((H95^2)*Q95)/1000000</f>
        <v>18.568045833333336</v>
      </c>
      <c r="AD95" s="62" t="s">
        <v>92</v>
      </c>
      <c r="AE95" s="68">
        <f t="shared" si="35"/>
        <v>124.848</v>
      </c>
    </row>
    <row r="96" spans="1:31" ht="11.25" customHeight="1">
      <c r="A96" s="105" t="s">
        <v>153</v>
      </c>
      <c r="B96" s="9" t="s">
        <v>233</v>
      </c>
      <c r="C96" s="9" t="s">
        <v>43</v>
      </c>
      <c r="D96" s="9" t="s">
        <v>23</v>
      </c>
      <c r="E96" s="9">
        <v>1</v>
      </c>
      <c r="F96" s="9">
        <v>31</v>
      </c>
      <c r="G96" s="9">
        <v>13</v>
      </c>
      <c r="H96" s="9">
        <v>600</v>
      </c>
      <c r="I96" s="9">
        <v>600</v>
      </c>
      <c r="J96" s="10" t="s">
        <v>53</v>
      </c>
      <c r="K96" s="9">
        <v>230</v>
      </c>
      <c r="L96" s="9" t="s">
        <v>55</v>
      </c>
      <c r="M96" s="9">
        <v>1012</v>
      </c>
      <c r="N96" s="33">
        <f t="shared" si="32"/>
        <v>270</v>
      </c>
      <c r="O96" s="9">
        <v>240</v>
      </c>
      <c r="P96" s="16">
        <f>(0.0175*(M96/O96))*1000</f>
        <v>73.79166666666667</v>
      </c>
      <c r="Q96" s="16">
        <f t="shared" si="33"/>
        <v>115.27083333333334</v>
      </c>
      <c r="R96" s="9">
        <f t="shared" si="26"/>
        <v>13</v>
      </c>
      <c r="S96" s="16">
        <f>(R96*(I96/5))/1000</f>
        <v>1.56</v>
      </c>
      <c r="T96" s="16">
        <f t="shared" si="27"/>
        <v>70.72250000000001</v>
      </c>
      <c r="U96" s="98" t="s">
        <v>315</v>
      </c>
      <c r="V96" s="121">
        <v>13</v>
      </c>
      <c r="W96" s="9" t="s">
        <v>90</v>
      </c>
      <c r="X96" s="9">
        <v>400</v>
      </c>
      <c r="Y96" s="9">
        <v>200</v>
      </c>
      <c r="Z96" s="9">
        <v>600</v>
      </c>
      <c r="AA96" s="63">
        <f>((Y96*0.9)+10)*Z96*0.816*1.02/380</f>
        <v>249.696</v>
      </c>
      <c r="AB96" s="63">
        <f t="shared" si="34"/>
        <v>172.99446337868733</v>
      </c>
      <c r="AC96" s="38">
        <f t="shared" si="28"/>
        <v>41.4975</v>
      </c>
      <c r="AD96" s="62" t="s">
        <v>92</v>
      </c>
      <c r="AE96" s="68">
        <f t="shared" si="35"/>
        <v>124.848</v>
      </c>
    </row>
    <row r="97" spans="1:31" ht="11.25" customHeight="1">
      <c r="A97" s="117" t="s">
        <v>154</v>
      </c>
      <c r="B97" s="9" t="s">
        <v>234</v>
      </c>
      <c r="C97" s="9" t="s">
        <v>44</v>
      </c>
      <c r="D97" s="9" t="s">
        <v>23</v>
      </c>
      <c r="E97" s="9">
        <v>1</v>
      </c>
      <c r="F97" s="9">
        <v>31</v>
      </c>
      <c r="G97" s="9">
        <v>13</v>
      </c>
      <c r="H97" s="9">
        <v>500</v>
      </c>
      <c r="I97" s="33">
        <v>600</v>
      </c>
      <c r="J97" s="10" t="s">
        <v>53</v>
      </c>
      <c r="K97" s="9">
        <v>200</v>
      </c>
      <c r="L97" s="9" t="s">
        <v>149</v>
      </c>
      <c r="M97" s="9">
        <v>1614</v>
      </c>
      <c r="N97" s="33">
        <f t="shared" si="32"/>
        <v>270</v>
      </c>
      <c r="O97" s="33">
        <v>500</v>
      </c>
      <c r="P97" s="16">
        <f aca="true" t="shared" si="36" ref="P97:P106">(0.0282*(M97/O97))*1000</f>
        <v>91.0296</v>
      </c>
      <c r="Q97" s="16">
        <f t="shared" si="33"/>
        <v>134.23256</v>
      </c>
      <c r="R97" s="9">
        <f t="shared" si="26"/>
        <v>13</v>
      </c>
      <c r="S97" s="16">
        <f aca="true" t="shared" si="37" ref="S97:S106">(R97*(I97/5))/1000</f>
        <v>1.56</v>
      </c>
      <c r="T97" s="16">
        <f t="shared" si="27"/>
        <v>82.099536</v>
      </c>
      <c r="U97" s="103" t="s">
        <v>315</v>
      </c>
      <c r="V97" s="121">
        <v>1</v>
      </c>
      <c r="W97" s="9" t="s">
        <v>90</v>
      </c>
      <c r="X97" s="9">
        <v>400</v>
      </c>
      <c r="Y97" s="9">
        <v>200</v>
      </c>
      <c r="Z97" s="9">
        <v>600</v>
      </c>
      <c r="AA97" s="63">
        <f>((Y97*0.9)+10)*Z97*0.816*1.02/380</f>
        <v>249.696</v>
      </c>
      <c r="AB97" s="63">
        <f t="shared" si="34"/>
        <v>172.99446337868733</v>
      </c>
      <c r="AC97" s="38">
        <f t="shared" si="28"/>
        <v>33.55814</v>
      </c>
      <c r="AD97" s="62" t="s">
        <v>92</v>
      </c>
      <c r="AE97" s="68">
        <f t="shared" si="35"/>
        <v>124.848</v>
      </c>
    </row>
    <row r="98" spans="1:31" ht="11.25" customHeight="1">
      <c r="A98" s="117" t="s">
        <v>155</v>
      </c>
      <c r="B98" s="9" t="s">
        <v>235</v>
      </c>
      <c r="C98" s="9" t="s">
        <v>45</v>
      </c>
      <c r="D98" s="9" t="s">
        <v>23</v>
      </c>
      <c r="E98" s="9">
        <v>1</v>
      </c>
      <c r="F98" s="9">
        <v>31</v>
      </c>
      <c r="G98" s="9">
        <v>13</v>
      </c>
      <c r="H98" s="33">
        <v>600</v>
      </c>
      <c r="I98" s="33">
        <v>600</v>
      </c>
      <c r="J98" s="10" t="s">
        <v>53</v>
      </c>
      <c r="K98" s="9">
        <v>170</v>
      </c>
      <c r="L98" s="9" t="s">
        <v>149</v>
      </c>
      <c r="M98" s="9">
        <v>1554</v>
      </c>
      <c r="N98" s="33">
        <f t="shared" si="32"/>
        <v>270</v>
      </c>
      <c r="O98" s="33">
        <v>500</v>
      </c>
      <c r="P98" s="16">
        <f t="shared" si="36"/>
        <v>87.6456</v>
      </c>
      <c r="Q98" s="16">
        <f t="shared" si="33"/>
        <v>130.51016</v>
      </c>
      <c r="R98" s="9">
        <f t="shared" si="26"/>
        <v>13</v>
      </c>
      <c r="S98" s="16">
        <f t="shared" si="37"/>
        <v>1.56</v>
      </c>
      <c r="T98" s="16">
        <f t="shared" si="27"/>
        <v>79.86609600000001</v>
      </c>
      <c r="U98" s="103" t="s">
        <v>315</v>
      </c>
      <c r="V98" s="121">
        <v>14</v>
      </c>
      <c r="W98" s="9" t="s">
        <v>90</v>
      </c>
      <c r="X98" s="9">
        <v>400</v>
      </c>
      <c r="Y98" s="9">
        <v>200</v>
      </c>
      <c r="Z98" s="9">
        <v>600</v>
      </c>
      <c r="AA98" s="63">
        <f>((Y98*0.9)+10)*Z98*0.816*1.02/380</f>
        <v>249.696</v>
      </c>
      <c r="AB98" s="63">
        <f t="shared" si="34"/>
        <v>172.99446337868733</v>
      </c>
      <c r="AC98" s="38">
        <f t="shared" si="28"/>
        <v>46.9836576</v>
      </c>
      <c r="AD98" s="62" t="s">
        <v>92</v>
      </c>
      <c r="AE98" s="68">
        <f t="shared" si="35"/>
        <v>124.848</v>
      </c>
    </row>
    <row r="99" spans="1:31" ht="11.25" customHeight="1">
      <c r="A99" s="117" t="s">
        <v>156</v>
      </c>
      <c r="B99" s="9" t="s">
        <v>236</v>
      </c>
      <c r="C99" s="9" t="s">
        <v>46</v>
      </c>
      <c r="D99" s="9" t="s">
        <v>23</v>
      </c>
      <c r="E99" s="9">
        <v>2</v>
      </c>
      <c r="F99" s="9">
        <v>31</v>
      </c>
      <c r="G99" s="9">
        <v>13</v>
      </c>
      <c r="H99" s="9">
        <v>300</v>
      </c>
      <c r="I99" s="9">
        <v>400</v>
      </c>
      <c r="J99" s="10" t="s">
        <v>53</v>
      </c>
      <c r="K99" s="9">
        <v>140</v>
      </c>
      <c r="L99" s="9" t="s">
        <v>149</v>
      </c>
      <c r="M99" s="9">
        <v>1490</v>
      </c>
      <c r="N99" s="33">
        <f t="shared" si="32"/>
        <v>180</v>
      </c>
      <c r="O99" s="33">
        <v>500</v>
      </c>
      <c r="P99" s="16">
        <f t="shared" si="36"/>
        <v>84.036</v>
      </c>
      <c r="Q99" s="16">
        <f t="shared" si="33"/>
        <v>160.6396</v>
      </c>
      <c r="R99" s="9">
        <f t="shared" si="26"/>
        <v>26</v>
      </c>
      <c r="S99" s="16">
        <f t="shared" si="37"/>
        <v>2.08</v>
      </c>
      <c r="T99" s="16">
        <f t="shared" si="27"/>
        <v>66.33583999999999</v>
      </c>
      <c r="U99" s="101" t="s">
        <v>313</v>
      </c>
      <c r="V99" s="121">
        <v>1</v>
      </c>
      <c r="W99" s="9" t="s">
        <v>90</v>
      </c>
      <c r="X99" s="9">
        <v>400</v>
      </c>
      <c r="Y99" s="9">
        <v>100</v>
      </c>
      <c r="Z99" s="9">
        <v>360</v>
      </c>
      <c r="AA99" s="63">
        <f>((Y99*0.9)+10)*I99*0.816*1.02/380</f>
        <v>87.61263157894736</v>
      </c>
      <c r="AB99" s="63">
        <f t="shared" si="34"/>
        <v>60.69981171182012</v>
      </c>
      <c r="AC99" s="38">
        <f t="shared" si="28"/>
        <v>14.457564</v>
      </c>
      <c r="AD99" s="62" t="s">
        <v>91</v>
      </c>
      <c r="AE99" s="68">
        <f t="shared" si="35"/>
        <v>43.80631578947368</v>
      </c>
    </row>
    <row r="100" spans="1:31" ht="11.25" customHeight="1">
      <c r="A100" s="117" t="s">
        <v>157</v>
      </c>
      <c r="B100" s="9" t="s">
        <v>237</v>
      </c>
      <c r="C100" s="9" t="s">
        <v>47</v>
      </c>
      <c r="D100" s="9" t="s">
        <v>23</v>
      </c>
      <c r="E100" s="9">
        <v>1</v>
      </c>
      <c r="F100" s="9">
        <v>31</v>
      </c>
      <c r="G100" s="9">
        <v>13</v>
      </c>
      <c r="H100" s="9">
        <v>490</v>
      </c>
      <c r="I100" s="33">
        <v>600</v>
      </c>
      <c r="J100" s="10" t="s">
        <v>53</v>
      </c>
      <c r="K100" s="9">
        <v>110</v>
      </c>
      <c r="L100" s="9" t="s">
        <v>149</v>
      </c>
      <c r="M100" s="9">
        <v>1434</v>
      </c>
      <c r="N100" s="33">
        <f t="shared" si="32"/>
        <v>270</v>
      </c>
      <c r="O100" s="33">
        <v>500</v>
      </c>
      <c r="P100" s="16">
        <f t="shared" si="36"/>
        <v>80.8776</v>
      </c>
      <c r="Q100" s="16">
        <f t="shared" si="33"/>
        <v>123.06536000000001</v>
      </c>
      <c r="R100" s="9">
        <f t="shared" si="26"/>
        <v>13</v>
      </c>
      <c r="S100" s="16">
        <f t="shared" si="37"/>
        <v>1.56</v>
      </c>
      <c r="T100" s="16">
        <f t="shared" si="27"/>
        <v>75.39921600000001</v>
      </c>
      <c r="U100" s="103" t="s">
        <v>315</v>
      </c>
      <c r="V100" s="121">
        <v>9</v>
      </c>
      <c r="W100" s="9" t="s">
        <v>90</v>
      </c>
      <c r="X100" s="9">
        <v>400</v>
      </c>
      <c r="Y100" s="9">
        <v>200</v>
      </c>
      <c r="Z100" s="9">
        <v>600</v>
      </c>
      <c r="AA100" s="63">
        <f>((Y100*0.9)+10)*Z100*0.816*1.02/380</f>
        <v>249.696</v>
      </c>
      <c r="AB100" s="63">
        <f t="shared" si="34"/>
        <v>172.99446337868733</v>
      </c>
      <c r="AC100" s="38">
        <f t="shared" si="28"/>
        <v>29.547992936000004</v>
      </c>
      <c r="AD100" s="62" t="s">
        <v>92</v>
      </c>
      <c r="AE100" s="68">
        <f t="shared" si="35"/>
        <v>124.848</v>
      </c>
    </row>
    <row r="101" spans="1:31" ht="11.25" customHeight="1">
      <c r="A101" s="117" t="s">
        <v>158</v>
      </c>
      <c r="B101" s="9" t="s">
        <v>238</v>
      </c>
      <c r="C101" s="9" t="s">
        <v>48</v>
      </c>
      <c r="D101" s="9" t="s">
        <v>23</v>
      </c>
      <c r="E101" s="9">
        <v>1</v>
      </c>
      <c r="F101" s="9">
        <v>31</v>
      </c>
      <c r="G101" s="9">
        <v>13</v>
      </c>
      <c r="H101" s="9">
        <v>500</v>
      </c>
      <c r="I101" s="33">
        <v>600</v>
      </c>
      <c r="J101" s="10" t="s">
        <v>53</v>
      </c>
      <c r="K101" s="9">
        <v>80</v>
      </c>
      <c r="L101" s="9" t="s">
        <v>149</v>
      </c>
      <c r="M101" s="9">
        <v>1374</v>
      </c>
      <c r="N101" s="33">
        <f t="shared" si="32"/>
        <v>270</v>
      </c>
      <c r="O101" s="33">
        <v>500</v>
      </c>
      <c r="P101" s="16">
        <f t="shared" si="36"/>
        <v>77.49360000000001</v>
      </c>
      <c r="Q101" s="16">
        <f t="shared" si="33"/>
        <v>119.34296000000002</v>
      </c>
      <c r="R101" s="9">
        <f t="shared" si="26"/>
        <v>13</v>
      </c>
      <c r="S101" s="16">
        <f t="shared" si="37"/>
        <v>1.56</v>
      </c>
      <c r="T101" s="16">
        <f t="shared" si="27"/>
        <v>73.16577600000002</v>
      </c>
      <c r="U101" s="103" t="s">
        <v>315</v>
      </c>
      <c r="V101" s="121">
        <v>8</v>
      </c>
      <c r="W101" s="9" t="s">
        <v>90</v>
      </c>
      <c r="X101" s="9">
        <v>400</v>
      </c>
      <c r="Y101" s="9">
        <v>200</v>
      </c>
      <c r="Z101" s="9">
        <v>600</v>
      </c>
      <c r="AA101" s="63">
        <f>((Y101*0.9)+10)*Z101*0.816*1.02/380</f>
        <v>249.696</v>
      </c>
      <c r="AB101" s="63">
        <f t="shared" si="34"/>
        <v>172.99446337868733</v>
      </c>
      <c r="AC101" s="38">
        <f t="shared" si="28"/>
        <v>29.835740000000005</v>
      </c>
      <c r="AD101" s="62" t="s">
        <v>92</v>
      </c>
      <c r="AE101" s="68">
        <f t="shared" si="35"/>
        <v>124.848</v>
      </c>
    </row>
    <row r="102" spans="1:31" ht="11.25" customHeight="1">
      <c r="A102" s="117" t="s">
        <v>159</v>
      </c>
      <c r="B102" s="9" t="s">
        <v>239</v>
      </c>
      <c r="C102" s="9" t="s">
        <v>49</v>
      </c>
      <c r="D102" s="9" t="s">
        <v>23</v>
      </c>
      <c r="E102" s="9">
        <v>1</v>
      </c>
      <c r="F102" s="9">
        <v>31</v>
      </c>
      <c r="G102" s="9">
        <v>13</v>
      </c>
      <c r="H102" s="9">
        <v>360</v>
      </c>
      <c r="I102" s="9">
        <v>500</v>
      </c>
      <c r="J102" s="10" t="s">
        <v>53</v>
      </c>
      <c r="K102" s="9">
        <v>50</v>
      </c>
      <c r="L102" s="9" t="s">
        <v>149</v>
      </c>
      <c r="M102" s="9">
        <v>1314</v>
      </c>
      <c r="N102" s="33">
        <f t="shared" si="32"/>
        <v>225</v>
      </c>
      <c r="O102" s="33">
        <v>500</v>
      </c>
      <c r="P102" s="16">
        <f t="shared" si="36"/>
        <v>74.1096</v>
      </c>
      <c r="Q102" s="16">
        <f t="shared" si="33"/>
        <v>115.62056000000001</v>
      </c>
      <c r="R102" s="9">
        <f t="shared" si="26"/>
        <v>13</v>
      </c>
      <c r="S102" s="16">
        <f t="shared" si="37"/>
        <v>1.3</v>
      </c>
      <c r="T102" s="16">
        <f t="shared" si="27"/>
        <v>59.11028</v>
      </c>
      <c r="U102" s="101" t="s">
        <v>312</v>
      </c>
      <c r="V102" s="121">
        <v>5</v>
      </c>
      <c r="W102" s="9" t="s">
        <v>90</v>
      </c>
      <c r="X102" s="9">
        <v>400</v>
      </c>
      <c r="Y102" s="9">
        <v>105</v>
      </c>
      <c r="Z102" s="9">
        <v>490</v>
      </c>
      <c r="AA102" s="63">
        <f>((Y102*0.9)+10)*I102*0.816*1.02/380</f>
        <v>114.444</v>
      </c>
      <c r="AB102" s="63">
        <f t="shared" si="34"/>
        <v>79.28912904856503</v>
      </c>
      <c r="AC102" s="38">
        <f aca="true" t="shared" si="38" ref="AC102:AC111">((H102^2)*Q102)/1000000</f>
        <v>14.984424576000002</v>
      </c>
      <c r="AD102" s="62" t="s">
        <v>93</v>
      </c>
      <c r="AE102" s="68">
        <f t="shared" si="35"/>
        <v>57.222</v>
      </c>
    </row>
    <row r="103" spans="1:31" ht="11.25" customHeight="1">
      <c r="A103" s="117" t="s">
        <v>160</v>
      </c>
      <c r="B103" s="9" t="s">
        <v>240</v>
      </c>
      <c r="C103" s="9" t="s">
        <v>50</v>
      </c>
      <c r="D103" s="9" t="s">
        <v>23</v>
      </c>
      <c r="E103" s="9">
        <v>1</v>
      </c>
      <c r="F103" s="9">
        <v>31</v>
      </c>
      <c r="G103" s="9">
        <v>13</v>
      </c>
      <c r="H103" s="9">
        <v>320</v>
      </c>
      <c r="I103" s="9">
        <v>500</v>
      </c>
      <c r="J103" s="10" t="s">
        <v>53</v>
      </c>
      <c r="K103" s="9">
        <v>10</v>
      </c>
      <c r="L103" s="9" t="s">
        <v>149</v>
      </c>
      <c r="M103" s="9">
        <v>1254</v>
      </c>
      <c r="N103" s="33">
        <f t="shared" si="32"/>
        <v>225</v>
      </c>
      <c r="O103" s="33">
        <v>500</v>
      </c>
      <c r="P103" s="16">
        <f t="shared" si="36"/>
        <v>70.7256</v>
      </c>
      <c r="Q103" s="16">
        <f t="shared" si="33"/>
        <v>111.89816</v>
      </c>
      <c r="R103" s="9">
        <f t="shared" si="26"/>
        <v>13</v>
      </c>
      <c r="S103" s="16">
        <f t="shared" si="37"/>
        <v>1.3</v>
      </c>
      <c r="T103" s="16">
        <f t="shared" si="27"/>
        <v>57.24908</v>
      </c>
      <c r="U103" s="101" t="s">
        <v>312</v>
      </c>
      <c r="V103" s="121">
        <v>3</v>
      </c>
      <c r="W103" s="9" t="s">
        <v>90</v>
      </c>
      <c r="X103" s="9">
        <v>400</v>
      </c>
      <c r="Y103" s="9">
        <v>105</v>
      </c>
      <c r="Z103" s="9">
        <v>490</v>
      </c>
      <c r="AA103" s="63">
        <f>((Y103*0.9)+10)*I103*0.816*1.02/380</f>
        <v>114.444</v>
      </c>
      <c r="AB103" s="63">
        <f t="shared" si="34"/>
        <v>79.28912904856503</v>
      </c>
      <c r="AC103" s="38">
        <f t="shared" si="38"/>
        <v>11.458371584</v>
      </c>
      <c r="AD103" s="62" t="s">
        <v>93</v>
      </c>
      <c r="AE103" s="68">
        <f t="shared" si="35"/>
        <v>57.222</v>
      </c>
    </row>
    <row r="104" spans="1:31" ht="11.25" customHeight="1">
      <c r="A104" s="114" t="s">
        <v>161</v>
      </c>
      <c r="B104" s="9" t="s">
        <v>241</v>
      </c>
      <c r="C104" s="9" t="s">
        <v>51</v>
      </c>
      <c r="D104" s="9" t="s">
        <v>23</v>
      </c>
      <c r="E104" s="9">
        <v>1</v>
      </c>
      <c r="F104" s="9">
        <v>31</v>
      </c>
      <c r="G104" s="9">
        <v>13</v>
      </c>
      <c r="H104" s="9">
        <v>290</v>
      </c>
      <c r="I104" s="9">
        <v>400</v>
      </c>
      <c r="J104" s="10" t="s">
        <v>53</v>
      </c>
      <c r="K104" s="9">
        <v>-30</v>
      </c>
      <c r="L104" s="9" t="s">
        <v>149</v>
      </c>
      <c r="M104" s="9">
        <v>1126</v>
      </c>
      <c r="N104" s="33">
        <f t="shared" si="32"/>
        <v>180</v>
      </c>
      <c r="O104" s="33">
        <v>500</v>
      </c>
      <c r="P104" s="16">
        <f t="shared" si="36"/>
        <v>63.50639999999999</v>
      </c>
      <c r="Q104" s="16">
        <f t="shared" si="33"/>
        <v>103.95703999999999</v>
      </c>
      <c r="R104" s="9">
        <f t="shared" si="26"/>
        <v>13</v>
      </c>
      <c r="S104" s="16">
        <f t="shared" si="37"/>
        <v>1.04</v>
      </c>
      <c r="T104" s="16">
        <f t="shared" si="27"/>
        <v>42.62281599999999</v>
      </c>
      <c r="U104" s="101" t="s">
        <v>313</v>
      </c>
      <c r="V104" s="121">
        <v>2</v>
      </c>
      <c r="W104" s="9" t="s">
        <v>90</v>
      </c>
      <c r="X104" s="9">
        <v>400</v>
      </c>
      <c r="Y104" s="9">
        <v>100</v>
      </c>
      <c r="Z104" s="9">
        <v>360</v>
      </c>
      <c r="AA104" s="63">
        <f>((Y104*0.9)+10)*I104*0.816*1.02/380</f>
        <v>87.61263157894736</v>
      </c>
      <c r="AB104" s="63">
        <f t="shared" si="34"/>
        <v>60.69981171182012</v>
      </c>
      <c r="AC104" s="38">
        <f t="shared" si="38"/>
        <v>8.742787064</v>
      </c>
      <c r="AD104" s="62" t="s">
        <v>91</v>
      </c>
      <c r="AE104" s="68">
        <f t="shared" si="35"/>
        <v>43.80631578947368</v>
      </c>
    </row>
    <row r="105" spans="1:31" ht="11.25" customHeight="1">
      <c r="A105" s="114" t="s">
        <v>162</v>
      </c>
      <c r="B105" s="9" t="s">
        <v>242</v>
      </c>
      <c r="C105" s="9" t="s">
        <v>52</v>
      </c>
      <c r="D105" s="9" t="s">
        <v>23</v>
      </c>
      <c r="E105" s="9">
        <v>1</v>
      </c>
      <c r="F105" s="9">
        <v>31</v>
      </c>
      <c r="G105" s="9">
        <v>13</v>
      </c>
      <c r="H105" s="9">
        <v>360</v>
      </c>
      <c r="I105" s="9">
        <v>500</v>
      </c>
      <c r="J105" s="10" t="s">
        <v>53</v>
      </c>
      <c r="K105" s="9">
        <v>-90</v>
      </c>
      <c r="L105" s="9" t="s">
        <v>149</v>
      </c>
      <c r="M105" s="9">
        <v>1066</v>
      </c>
      <c r="N105" s="33">
        <f t="shared" si="32"/>
        <v>225</v>
      </c>
      <c r="O105" s="33">
        <v>500</v>
      </c>
      <c r="P105" s="16">
        <f t="shared" si="36"/>
        <v>60.1224</v>
      </c>
      <c r="Q105" s="16">
        <f t="shared" si="33"/>
        <v>100.23464000000001</v>
      </c>
      <c r="R105" s="9">
        <f t="shared" si="26"/>
        <v>13</v>
      </c>
      <c r="S105" s="16">
        <f t="shared" si="37"/>
        <v>1.3</v>
      </c>
      <c r="T105" s="16">
        <f t="shared" si="27"/>
        <v>51.417320000000004</v>
      </c>
      <c r="U105" s="101" t="s">
        <v>312</v>
      </c>
      <c r="V105" s="121">
        <v>4</v>
      </c>
      <c r="W105" s="9" t="s">
        <v>90</v>
      </c>
      <c r="X105" s="9">
        <v>400</v>
      </c>
      <c r="Y105" s="9">
        <v>105</v>
      </c>
      <c r="Z105" s="9">
        <v>490</v>
      </c>
      <c r="AA105" s="63">
        <f>((Y105*0.9)+10)*I105*0.816*1.02/380</f>
        <v>114.444</v>
      </c>
      <c r="AB105" s="63">
        <f t="shared" si="34"/>
        <v>79.28912904856503</v>
      </c>
      <c r="AC105" s="38">
        <f t="shared" si="38"/>
        <v>12.990409344000003</v>
      </c>
      <c r="AD105" s="62" t="s">
        <v>93</v>
      </c>
      <c r="AE105" s="68">
        <f t="shared" si="35"/>
        <v>57.222</v>
      </c>
    </row>
    <row r="106" spans="1:31" ht="11.25" customHeight="1" thickBot="1">
      <c r="A106" s="116" t="s">
        <v>163</v>
      </c>
      <c r="B106" s="31" t="s">
        <v>243</v>
      </c>
      <c r="C106" s="31" t="s">
        <v>62</v>
      </c>
      <c r="D106" s="31" t="s">
        <v>23</v>
      </c>
      <c r="E106" s="31">
        <v>1</v>
      </c>
      <c r="F106" s="31">
        <v>31</v>
      </c>
      <c r="G106" s="31">
        <v>13</v>
      </c>
      <c r="H106" s="31">
        <v>290</v>
      </c>
      <c r="I106" s="31">
        <v>400</v>
      </c>
      <c r="J106" s="40" t="s">
        <v>53</v>
      </c>
      <c r="K106" s="31">
        <v>-110</v>
      </c>
      <c r="L106" s="31" t="s">
        <v>149</v>
      </c>
      <c r="M106" s="31">
        <v>1006</v>
      </c>
      <c r="N106" s="58">
        <f t="shared" si="32"/>
        <v>180</v>
      </c>
      <c r="O106" s="58">
        <v>500</v>
      </c>
      <c r="P106" s="41">
        <f t="shared" si="36"/>
        <v>56.7384</v>
      </c>
      <c r="Q106" s="41">
        <f t="shared" si="33"/>
        <v>96.51224</v>
      </c>
      <c r="R106" s="31">
        <f t="shared" si="26"/>
        <v>13</v>
      </c>
      <c r="S106" s="41">
        <f t="shared" si="37"/>
        <v>1.04</v>
      </c>
      <c r="T106" s="41">
        <f t="shared" si="27"/>
        <v>39.644895999999996</v>
      </c>
      <c r="U106" s="104" t="s">
        <v>313</v>
      </c>
      <c r="V106" s="127">
        <v>5</v>
      </c>
      <c r="W106" s="31" t="s">
        <v>90</v>
      </c>
      <c r="X106" s="31">
        <v>400</v>
      </c>
      <c r="Y106" s="31">
        <v>100</v>
      </c>
      <c r="Z106" s="31">
        <v>360</v>
      </c>
      <c r="AA106" s="63">
        <f>((Y106*0.9)+10)*I106*0.816*1.02/380</f>
        <v>87.61263157894736</v>
      </c>
      <c r="AB106" s="75">
        <f t="shared" si="34"/>
        <v>60.69981171182012</v>
      </c>
      <c r="AC106" s="59">
        <f t="shared" si="38"/>
        <v>8.116679384000001</v>
      </c>
      <c r="AD106" s="77" t="s">
        <v>91</v>
      </c>
      <c r="AE106" s="70">
        <f t="shared" si="35"/>
        <v>43.80631578947368</v>
      </c>
    </row>
    <row r="107" spans="1:31" ht="11.25" customHeight="1">
      <c r="A107" s="43"/>
      <c r="B107" s="99" t="s">
        <v>337</v>
      </c>
      <c r="C107" s="43"/>
      <c r="D107" s="53"/>
      <c r="E107" s="43"/>
      <c r="F107" s="43"/>
      <c r="G107" s="43"/>
      <c r="H107" s="43"/>
      <c r="I107" s="43" t="s">
        <v>205</v>
      </c>
      <c r="J107" s="44"/>
      <c r="K107" s="43"/>
      <c r="L107" s="43" t="s">
        <v>55</v>
      </c>
      <c r="M107" s="43"/>
      <c r="N107" s="43"/>
      <c r="O107" s="43"/>
      <c r="P107" s="45"/>
      <c r="Q107" s="45"/>
      <c r="R107" s="43"/>
      <c r="S107" s="45"/>
      <c r="T107" s="45"/>
      <c r="U107" s="43" t="s">
        <v>333</v>
      </c>
      <c r="V107" s="123">
        <v>10</v>
      </c>
      <c r="W107" s="43" t="s">
        <v>90</v>
      </c>
      <c r="X107" s="43">
        <v>400</v>
      </c>
      <c r="Y107" s="43">
        <v>350</v>
      </c>
      <c r="Z107" s="43">
        <v>720</v>
      </c>
      <c r="AA107" s="43"/>
      <c r="AB107" s="43"/>
      <c r="AC107" s="46">
        <f t="shared" si="38"/>
        <v>0</v>
      </c>
      <c r="AD107" s="78" t="s">
        <v>92</v>
      </c>
      <c r="AE107" s="85">
        <v>399</v>
      </c>
    </row>
    <row r="108" spans="1:31" ht="11.25" customHeight="1">
      <c r="A108" s="9"/>
      <c r="B108" s="98" t="s">
        <v>319</v>
      </c>
      <c r="C108" s="9"/>
      <c r="D108" s="29"/>
      <c r="E108" s="12"/>
      <c r="F108" s="12"/>
      <c r="G108" s="12"/>
      <c r="H108" s="12"/>
      <c r="I108" s="12" t="s">
        <v>208</v>
      </c>
      <c r="J108" s="56"/>
      <c r="K108" s="12"/>
      <c r="L108" s="12" t="s">
        <v>55</v>
      </c>
      <c r="M108" s="12"/>
      <c r="N108" s="12"/>
      <c r="O108" s="12"/>
      <c r="P108" s="14"/>
      <c r="Q108" s="14"/>
      <c r="R108" s="12"/>
      <c r="S108" s="14"/>
      <c r="T108" s="14"/>
      <c r="U108" s="12" t="s">
        <v>317</v>
      </c>
      <c r="V108" s="125">
        <v>2</v>
      </c>
      <c r="W108" s="12" t="s">
        <v>90</v>
      </c>
      <c r="X108" s="9">
        <v>400</v>
      </c>
      <c r="Y108" s="12">
        <v>300</v>
      </c>
      <c r="Z108" s="9">
        <v>1000</v>
      </c>
      <c r="AA108" s="62"/>
      <c r="AB108" s="62"/>
      <c r="AC108" s="38">
        <f t="shared" si="38"/>
        <v>0</v>
      </c>
      <c r="AD108" s="62" t="s">
        <v>92</v>
      </c>
      <c r="AE108" s="21">
        <v>429</v>
      </c>
    </row>
    <row r="109" spans="1:31" ht="11.25" customHeight="1">
      <c r="A109" s="9"/>
      <c r="B109" s="97" t="s">
        <v>354</v>
      </c>
      <c r="C109" s="9"/>
      <c r="D109" s="29"/>
      <c r="E109" s="12"/>
      <c r="F109" s="12"/>
      <c r="G109" s="12"/>
      <c r="H109" s="12"/>
      <c r="I109" s="12">
        <v>400</v>
      </c>
      <c r="J109" s="56"/>
      <c r="K109" s="12"/>
      <c r="L109" s="12" t="s">
        <v>55</v>
      </c>
      <c r="M109" s="12"/>
      <c r="N109" s="12"/>
      <c r="O109" s="12"/>
      <c r="P109" s="14"/>
      <c r="Q109" s="14"/>
      <c r="R109" s="12"/>
      <c r="S109" s="14"/>
      <c r="T109" s="14"/>
      <c r="U109" s="12" t="s">
        <v>353</v>
      </c>
      <c r="V109" s="125"/>
      <c r="W109" s="12" t="s">
        <v>326</v>
      </c>
      <c r="X109" s="9">
        <v>400</v>
      </c>
      <c r="Y109" s="9" t="s">
        <v>327</v>
      </c>
      <c r="Z109" s="6">
        <v>400</v>
      </c>
      <c r="AA109" s="62"/>
      <c r="AB109" s="62"/>
      <c r="AC109" s="38">
        <f>((H109^2)*Q109)/1000000</f>
        <v>0</v>
      </c>
      <c r="AD109" s="62" t="s">
        <v>92</v>
      </c>
      <c r="AE109" s="21">
        <v>429</v>
      </c>
    </row>
    <row r="110" spans="1:31" ht="11.25" customHeight="1">
      <c r="A110" s="9"/>
      <c r="B110" s="101" t="s">
        <v>340</v>
      </c>
      <c r="C110" s="9"/>
      <c r="D110" s="30"/>
      <c r="E110" s="9"/>
      <c r="F110" s="9"/>
      <c r="G110" s="9"/>
      <c r="H110" s="9"/>
      <c r="I110" s="9" t="s">
        <v>320</v>
      </c>
      <c r="J110" s="10"/>
      <c r="K110" s="9"/>
      <c r="L110" s="9" t="s">
        <v>149</v>
      </c>
      <c r="M110" s="9"/>
      <c r="N110" s="9"/>
      <c r="O110" s="9"/>
      <c r="P110" s="16"/>
      <c r="Q110" s="16"/>
      <c r="R110" s="9"/>
      <c r="S110" s="16"/>
      <c r="T110" s="16"/>
      <c r="U110" s="9" t="s">
        <v>333</v>
      </c>
      <c r="V110" s="122">
        <v>6</v>
      </c>
      <c r="W110" s="9" t="s">
        <v>90</v>
      </c>
      <c r="X110" s="9">
        <v>400</v>
      </c>
      <c r="Y110" s="9">
        <v>350</v>
      </c>
      <c r="Z110" s="9">
        <v>720</v>
      </c>
      <c r="AA110" s="9"/>
      <c r="AB110" s="9"/>
      <c r="AC110" s="42">
        <f>((H110^2)*Q110)/1000000</f>
        <v>0</v>
      </c>
      <c r="AD110" s="62" t="s">
        <v>92</v>
      </c>
      <c r="AE110" s="21">
        <v>285</v>
      </c>
    </row>
    <row r="111" spans="1:31" ht="11.25" customHeight="1" thickBot="1">
      <c r="A111" s="22"/>
      <c r="B111" s="102" t="s">
        <v>341</v>
      </c>
      <c r="C111" s="22"/>
      <c r="D111" s="54"/>
      <c r="E111" s="22"/>
      <c r="F111" s="22"/>
      <c r="G111" s="22"/>
      <c r="H111" s="22"/>
      <c r="I111" s="22" t="s">
        <v>207</v>
      </c>
      <c r="J111" s="23"/>
      <c r="K111" s="22"/>
      <c r="L111" s="22" t="s">
        <v>149</v>
      </c>
      <c r="M111" s="22"/>
      <c r="N111" s="22"/>
      <c r="O111" s="22"/>
      <c r="P111" s="24"/>
      <c r="Q111" s="24"/>
      <c r="R111" s="22"/>
      <c r="S111" s="24"/>
      <c r="T111" s="24"/>
      <c r="U111" s="22" t="s">
        <v>330</v>
      </c>
      <c r="V111" s="126">
        <v>3</v>
      </c>
      <c r="W111" s="22" t="s">
        <v>90</v>
      </c>
      <c r="X111" s="22">
        <v>400</v>
      </c>
      <c r="Y111" s="22">
        <v>350</v>
      </c>
      <c r="Z111" s="22">
        <v>720</v>
      </c>
      <c r="AA111" s="22"/>
      <c r="AB111" s="22"/>
      <c r="AC111" s="48">
        <f t="shared" si="38"/>
        <v>0</v>
      </c>
      <c r="AD111" s="79" t="s">
        <v>92</v>
      </c>
      <c r="AE111" s="25">
        <v>285</v>
      </c>
    </row>
    <row r="112" spans="14:30" ht="11.25" customHeight="1">
      <c r="N112" s="8"/>
      <c r="O112" s="8"/>
      <c r="P112" s="35"/>
      <c r="Q112" s="35"/>
      <c r="R112" s="8"/>
      <c r="S112" s="8"/>
      <c r="T112" s="35"/>
      <c r="U112" s="8"/>
      <c r="V112" s="8"/>
      <c r="W112" s="8"/>
      <c r="X112" s="8"/>
      <c r="Y112" s="8"/>
      <c r="Z112" s="8"/>
      <c r="AA112" s="8"/>
      <c r="AB112" s="8"/>
      <c r="AC112" s="35">
        <f>SUM(AC74:AC81,AC83:AC85,AC87:AC92,AC94:AC111)</f>
        <v>16904.887671421242</v>
      </c>
      <c r="AD112" s="8"/>
    </row>
    <row r="113" spans="14:32" ht="11.25" customHeight="1" thickBot="1">
      <c r="N113" s="8"/>
      <c r="O113" s="8"/>
      <c r="P113" s="35"/>
      <c r="Q113" s="35"/>
      <c r="R113" s="8"/>
      <c r="S113" s="8"/>
      <c r="T113" s="35"/>
      <c r="W113" s="8" t="s">
        <v>193</v>
      </c>
      <c r="X113" s="8" t="s">
        <v>213</v>
      </c>
      <c r="Y113" s="8" t="s">
        <v>94</v>
      </c>
      <c r="AC113" s="8"/>
      <c r="AD113" s="8"/>
      <c r="AF113" s="65"/>
    </row>
    <row r="114" spans="1:32" ht="11.25" customHeight="1">
      <c r="A114" s="135" t="s">
        <v>346</v>
      </c>
      <c r="B114" s="135"/>
      <c r="C114" s="135"/>
      <c r="E114" s="128" t="s">
        <v>321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08" t="s">
        <v>204</v>
      </c>
      <c r="T114" s="20"/>
      <c r="U114" s="109"/>
      <c r="V114" s="20"/>
      <c r="W114" s="93">
        <f>SUM(AB84:AB85,AB76)</f>
        <v>3585.886901734557</v>
      </c>
      <c r="X114" s="90">
        <f>W114*0.5</f>
        <v>1792.9434508672784</v>
      </c>
      <c r="Y114" s="87">
        <f>X114/(18*3^0.5)</f>
        <v>57.50868799999999</v>
      </c>
      <c r="AC114" s="8"/>
      <c r="AD114" s="8"/>
      <c r="AF114" s="65"/>
    </row>
    <row r="115" spans="1:30" ht="11.25" customHeight="1">
      <c r="A115" s="105" t="s">
        <v>361</v>
      </c>
      <c r="B115" s="135" t="s">
        <v>359</v>
      </c>
      <c r="C115" s="135"/>
      <c r="E115" s="128" t="s">
        <v>150</v>
      </c>
      <c r="F115" s="128"/>
      <c r="G115" s="128"/>
      <c r="H115" s="128"/>
      <c r="I115" s="128"/>
      <c r="J115" s="128"/>
      <c r="K115" s="8"/>
      <c r="L115" s="8"/>
      <c r="M115" s="8"/>
      <c r="N115" s="8"/>
      <c r="O115" s="8"/>
      <c r="P115" s="8"/>
      <c r="Q115" s="8"/>
      <c r="R115" s="8"/>
      <c r="S115" s="110" t="s">
        <v>199</v>
      </c>
      <c r="T115" s="8"/>
      <c r="U115" s="111"/>
      <c r="V115" s="8"/>
      <c r="W115" s="94">
        <f>SUM(AB89,AB92,AB97:AB106)</f>
        <v>1995.7035844141492</v>
      </c>
      <c r="X115" s="91">
        <f>W115*0.5</f>
        <v>997.8517922070746</v>
      </c>
      <c r="Y115" s="88">
        <f>X115/(18*3^0.5)</f>
        <v>32.00611115789473</v>
      </c>
      <c r="AC115" s="8"/>
      <c r="AD115" s="35"/>
    </row>
    <row r="116" spans="1:30" ht="11.25" customHeight="1">
      <c r="A116" s="117" t="s">
        <v>362</v>
      </c>
      <c r="B116" s="135" t="s">
        <v>360</v>
      </c>
      <c r="C116" s="135"/>
      <c r="E116" s="39" t="s">
        <v>120</v>
      </c>
      <c r="F116" s="39"/>
      <c r="G116" s="39"/>
      <c r="H116" s="39"/>
      <c r="I116" s="39"/>
      <c r="J116" s="39"/>
      <c r="K116" s="8"/>
      <c r="L116" s="8"/>
      <c r="M116" s="8"/>
      <c r="N116" s="8"/>
      <c r="O116" s="8"/>
      <c r="P116" s="8"/>
      <c r="Q116" s="8"/>
      <c r="R116" s="8"/>
      <c r="S116" s="110" t="s">
        <v>200</v>
      </c>
      <c r="T116" s="8"/>
      <c r="U116" s="111"/>
      <c r="V116" s="8"/>
      <c r="W116" s="94">
        <f>SUM(AB76,AB83,AB91,AB88)</f>
        <v>28250.284193845273</v>
      </c>
      <c r="X116" s="91">
        <f>W116*0.65</f>
        <v>18362.68472599943</v>
      </c>
      <c r="Y116" s="88">
        <f>X116/(18*3^0.5)</f>
        <v>588.9833872</v>
      </c>
      <c r="AD116" s="15"/>
    </row>
    <row r="117" spans="1:25" ht="11.25" customHeight="1" thickBot="1">
      <c r="A117" s="9"/>
      <c r="B117" s="136" t="s">
        <v>363</v>
      </c>
      <c r="C117" s="137"/>
      <c r="E117" s="51" t="s">
        <v>307</v>
      </c>
      <c r="F117" s="39"/>
      <c r="G117" s="39"/>
      <c r="H117" s="39"/>
      <c r="I117" s="39"/>
      <c r="J117" s="39"/>
      <c r="K117" s="8"/>
      <c r="L117" s="8"/>
      <c r="M117" s="8"/>
      <c r="N117" s="8"/>
      <c r="O117" s="8"/>
      <c r="P117" s="8"/>
      <c r="Q117" s="8"/>
      <c r="R117" s="8"/>
      <c r="S117" s="112" t="s">
        <v>201</v>
      </c>
      <c r="T117" s="64"/>
      <c r="U117" s="113"/>
      <c r="V117" s="64"/>
      <c r="W117" s="95">
        <f>SUM(AB74:AB75,AB78:AB81,AB87,AB94:AB96)</f>
        <v>1705.664709102145</v>
      </c>
      <c r="X117" s="92">
        <f>W117*0.65</f>
        <v>1108.6820609163942</v>
      </c>
      <c r="Y117" s="89">
        <f>X117/(18*3^0.5)</f>
        <v>35.560993684210516</v>
      </c>
    </row>
    <row r="118" spans="1:16" ht="11.25" customHeight="1">
      <c r="A118" s="114"/>
      <c r="B118" s="136" t="s">
        <v>345</v>
      </c>
      <c r="C118" s="137"/>
      <c r="E118" s="39" t="s">
        <v>135</v>
      </c>
      <c r="P118" s="6"/>
    </row>
    <row r="133" ht="2.25" customHeight="1"/>
  </sheetData>
  <mergeCells count="21">
    <mergeCell ref="B116:C116"/>
    <mergeCell ref="B118:C118"/>
    <mergeCell ref="B117:C117"/>
    <mergeCell ref="E114:R114"/>
    <mergeCell ref="E115:J115"/>
    <mergeCell ref="A73:AD73"/>
    <mergeCell ref="A82:AD82"/>
    <mergeCell ref="B115:C115"/>
    <mergeCell ref="A114:C114"/>
    <mergeCell ref="A1:AE1"/>
    <mergeCell ref="A66:AE66"/>
    <mergeCell ref="A8:AD8"/>
    <mergeCell ref="A23:AD23"/>
    <mergeCell ref="A3:E3"/>
    <mergeCell ref="A59:J59"/>
    <mergeCell ref="A60:E60"/>
    <mergeCell ref="U4:V4"/>
    <mergeCell ref="E61:R61"/>
    <mergeCell ref="E62:J62"/>
    <mergeCell ref="U69:V69"/>
    <mergeCell ref="A68:E68"/>
  </mergeCells>
  <printOptions/>
  <pageMargins left="0.196850393700787" right="0.196850393700787" top="0.393700787" bottom="0.393700787" header="0.31496062992126" footer="0.31496062992126"/>
  <pageSetup horizontalDpi="600" verticalDpi="600" orientation="landscape" pageOrder="overThenDown" paperSize="8" r:id="rId1"/>
  <headerFooter alignWithMargins="0">
    <oddHeader>&amp;LSL/PO&amp;RR. Genand</oddHeader>
    <oddFooter>&amp;L&amp;D&amp;R&amp;F</oddFooter>
  </headerFooter>
  <rowBreaks count="2" manualBreakCount="2">
    <brk id="65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ceccone</dc:creator>
  <cp:keywords/>
  <dc:description/>
  <cp:lastModifiedBy>genand</cp:lastModifiedBy>
  <cp:lastPrinted>2003-08-21T13:03:03Z</cp:lastPrinted>
  <dcterms:created xsi:type="dcterms:W3CDTF">1998-02-13T14:45:43Z</dcterms:created>
  <dcterms:modified xsi:type="dcterms:W3CDTF">2003-08-21T13:56:41Z</dcterms:modified>
  <cp:category/>
  <cp:version/>
  <cp:contentType/>
  <cp:contentStatus/>
</cp:coreProperties>
</file>